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her\Desktop\CSed17\Fogli Excel\"/>
    </mc:Choice>
  </mc:AlternateContent>
  <bookViews>
    <workbookView xWindow="480" yWindow="135" windowWidth="18195" windowHeight="10545" tabRatio="695" activeTab="6"/>
  </bookViews>
  <sheets>
    <sheet name="Travi" sheetId="10" r:id="rId1"/>
    <sheet name="Pilastri" sheetId="11" r:id="rId2"/>
    <sheet name="Masse" sheetId="5" r:id="rId3"/>
    <sheet name="Spettri di risposta" sheetId="12" r:id="rId4"/>
    <sheet name="Forze" sheetId="7" r:id="rId5"/>
    <sheet name="Car.Soll." sheetId="8" r:id="rId6"/>
    <sheet name="Dimensionamento" sheetId="9" r:id="rId7"/>
    <sheet name="Rigidezze di piano" sheetId="13" r:id="rId8"/>
    <sheet name="Rayleigh" sheetId="14" r:id="rId9"/>
  </sheets>
  <calcPr calcId="162913"/>
</workbook>
</file>

<file path=xl/calcChain.xml><?xml version="1.0" encoding="utf-8"?>
<calcChain xmlns="http://schemas.openxmlformats.org/spreadsheetml/2006/main">
  <c r="F6" i="14" l="1"/>
  <c r="F7" i="14"/>
  <c r="F8" i="14"/>
  <c r="F9" i="14"/>
  <c r="F10" i="14"/>
  <c r="F11" i="14"/>
  <c r="F5" i="14"/>
  <c r="O32" i="14"/>
  <c r="M32" i="14"/>
  <c r="P20" i="14"/>
  <c r="O15" i="14"/>
  <c r="M15" i="14"/>
  <c r="M20" i="14"/>
  <c r="G37" i="14"/>
  <c r="G38" i="14"/>
  <c r="G39" i="14"/>
  <c r="G40" i="14"/>
  <c r="G41" i="14"/>
  <c r="G42" i="14"/>
  <c r="G36" i="14"/>
  <c r="C37" i="14"/>
  <c r="C38" i="14"/>
  <c r="C39" i="14"/>
  <c r="C40" i="14"/>
  <c r="C41" i="14"/>
  <c r="C42" i="14"/>
  <c r="C36" i="14"/>
  <c r="C19" i="14"/>
  <c r="A37" i="14"/>
  <c r="E37" i="14" s="1"/>
  <c r="B37" i="14"/>
  <c r="D37" i="14" s="1"/>
  <c r="A38" i="14"/>
  <c r="B38" i="14"/>
  <c r="A39" i="14"/>
  <c r="B39" i="14"/>
  <c r="A40" i="14"/>
  <c r="B40" i="14"/>
  <c r="A41" i="14"/>
  <c r="B41" i="14"/>
  <c r="A42" i="14"/>
  <c r="B42" i="14"/>
  <c r="B36" i="14"/>
  <c r="D36" i="14" s="1"/>
  <c r="B19" i="14"/>
  <c r="A36" i="14"/>
  <c r="E36" i="14" s="1"/>
  <c r="A19" i="14"/>
  <c r="G20" i="14"/>
  <c r="H20" i="14" s="1"/>
  <c r="I20" i="14" s="1"/>
  <c r="N20" i="14" s="1"/>
  <c r="G21" i="14"/>
  <c r="G22" i="14"/>
  <c r="G23" i="14"/>
  <c r="G24" i="14"/>
  <c r="G25" i="14"/>
  <c r="G19" i="14"/>
  <c r="H19" i="14" s="1"/>
  <c r="I19" i="14" s="1"/>
  <c r="N19" i="14" s="1"/>
  <c r="A20" i="14"/>
  <c r="B20" i="14"/>
  <c r="J20" i="14" s="1"/>
  <c r="C20" i="14"/>
  <c r="A21" i="14"/>
  <c r="B21" i="14"/>
  <c r="C21" i="14"/>
  <c r="A22" i="14"/>
  <c r="B22" i="14"/>
  <c r="C22" i="14"/>
  <c r="A23" i="14"/>
  <c r="B23" i="14"/>
  <c r="C23" i="14"/>
  <c r="A24" i="14"/>
  <c r="B24" i="14"/>
  <c r="C24" i="14"/>
  <c r="A25" i="14"/>
  <c r="B25" i="14"/>
  <c r="C25" i="14"/>
  <c r="P19" i="14" l="1"/>
  <c r="D40" i="14"/>
  <c r="M19" i="14"/>
  <c r="D39" i="14"/>
  <c r="O19" i="14"/>
  <c r="O20" i="14"/>
  <c r="B26" i="14"/>
  <c r="D41" i="14"/>
  <c r="J19" i="14"/>
  <c r="D38" i="14"/>
  <c r="F36" i="14"/>
  <c r="D42" i="14"/>
  <c r="B43" i="14"/>
  <c r="B45" i="14" s="1"/>
  <c r="D43" i="14" l="1"/>
  <c r="E41" i="14" s="1"/>
  <c r="H36" i="14"/>
  <c r="F37" i="14"/>
  <c r="E38" i="14" l="1"/>
  <c r="E40" i="14"/>
  <c r="O36" i="14"/>
  <c r="M36" i="14"/>
  <c r="E43" i="14"/>
  <c r="E39" i="14"/>
  <c r="E42" i="14"/>
  <c r="H37" i="14"/>
  <c r="F38" i="14"/>
  <c r="O37" i="14" l="1"/>
  <c r="M37" i="14"/>
  <c r="F39" i="14"/>
  <c r="H38" i="14"/>
  <c r="O38" i="14" l="1"/>
  <c r="M38" i="14"/>
  <c r="F40" i="14"/>
  <c r="H39" i="14"/>
  <c r="O39" i="14" l="1"/>
  <c r="M39" i="14"/>
  <c r="H40" i="14"/>
  <c r="F41" i="14"/>
  <c r="O40" i="14" l="1"/>
  <c r="M40" i="14"/>
  <c r="F42" i="14"/>
  <c r="H42" i="14" s="1"/>
  <c r="H41" i="14"/>
  <c r="O41" i="14" l="1"/>
  <c r="M41" i="14"/>
  <c r="I42" i="14"/>
  <c r="O42" i="14"/>
  <c r="M42" i="14"/>
  <c r="J42" i="14"/>
  <c r="K42" i="14"/>
  <c r="I37" i="14"/>
  <c r="N42" i="14" l="1"/>
  <c r="P42" i="14"/>
  <c r="I41" i="14"/>
  <c r="J41" i="14" s="1"/>
  <c r="N37" i="14"/>
  <c r="P37" i="14"/>
  <c r="K41" i="14"/>
  <c r="I40" i="14"/>
  <c r="K37" i="14"/>
  <c r="J37" i="14"/>
  <c r="I36" i="14"/>
  <c r="N40" i="14" l="1"/>
  <c r="P40" i="14"/>
  <c r="P36" i="14"/>
  <c r="N36" i="14"/>
  <c r="N41" i="14"/>
  <c r="P41" i="14"/>
  <c r="J40" i="14"/>
  <c r="K40" i="14"/>
  <c r="I39" i="14"/>
  <c r="K36" i="14"/>
  <c r="J36" i="14"/>
  <c r="N39" i="14" l="1"/>
  <c r="P39" i="14"/>
  <c r="I38" i="14"/>
  <c r="J39" i="14"/>
  <c r="K39" i="14"/>
  <c r="N38" i="14" l="1"/>
  <c r="P38" i="14"/>
  <c r="K38" i="14"/>
  <c r="K43" i="14" s="1"/>
  <c r="J38" i="14"/>
  <c r="J43" i="14" s="1"/>
  <c r="J9" i="14" s="1"/>
  <c r="L10" i="14" s="1"/>
  <c r="D20" i="14" l="1"/>
  <c r="D21" i="14"/>
  <c r="D22" i="14"/>
  <c r="D23" i="14"/>
  <c r="D24" i="14"/>
  <c r="D25" i="14"/>
  <c r="D19" i="14"/>
  <c r="B28" i="14"/>
  <c r="K29" i="13"/>
  <c r="L28" i="13" s="1"/>
  <c r="J29" i="13"/>
  <c r="K28" i="13"/>
  <c r="L27" i="13" s="1"/>
  <c r="J28" i="13"/>
  <c r="K27" i="13"/>
  <c r="L26" i="13" s="1"/>
  <c r="J27" i="13"/>
  <c r="K26" i="13"/>
  <c r="J26" i="13"/>
  <c r="L25" i="13"/>
  <c r="K25" i="13"/>
  <c r="J25" i="13"/>
  <c r="L24" i="13"/>
  <c r="K24" i="13"/>
  <c r="J24" i="13"/>
  <c r="M24" i="13" s="1"/>
  <c r="L23" i="13"/>
  <c r="K23" i="13"/>
  <c r="J23" i="13"/>
  <c r="M23" i="13" s="1"/>
  <c r="O10" i="13"/>
  <c r="L11" i="13"/>
  <c r="L10" i="13"/>
  <c r="K10" i="13"/>
  <c r="K11" i="13"/>
  <c r="K12" i="13"/>
  <c r="K13" i="13"/>
  <c r="L12" i="13" s="1"/>
  <c r="K14" i="13"/>
  <c r="L13" i="13" s="1"/>
  <c r="K15" i="13"/>
  <c r="L14" i="13" s="1"/>
  <c r="K16" i="13"/>
  <c r="L15" i="13" s="1"/>
  <c r="J16" i="13"/>
  <c r="J10" i="13"/>
  <c r="N10" i="13" s="1"/>
  <c r="J11" i="13"/>
  <c r="O11" i="13" s="1"/>
  <c r="J13" i="13"/>
  <c r="J14" i="13"/>
  <c r="J15" i="13"/>
  <c r="J12" i="13"/>
  <c r="F3" i="13"/>
  <c r="I40" i="8"/>
  <c r="I52" i="8" s="1"/>
  <c r="G69" i="9"/>
  <c r="C69" i="9"/>
  <c r="G45" i="9"/>
  <c r="C45" i="9"/>
  <c r="C40" i="8"/>
  <c r="D40" i="8" s="1"/>
  <c r="E40" i="8" s="1"/>
  <c r="E52" i="8" s="1"/>
  <c r="C41" i="8"/>
  <c r="D41" i="8" s="1"/>
  <c r="C42" i="8"/>
  <c r="D42" i="8" s="1"/>
  <c r="C43" i="8"/>
  <c r="D43" i="8" s="1"/>
  <c r="C44" i="8"/>
  <c r="D44" i="8" s="1"/>
  <c r="C45" i="8"/>
  <c r="D45" i="8" s="1"/>
  <c r="C39" i="8"/>
  <c r="D39" i="8" s="1"/>
  <c r="L39" i="8" s="1"/>
  <c r="K51" i="8" s="1"/>
  <c r="L51" i="8" s="1"/>
  <c r="C11" i="8"/>
  <c r="F23" i="13" s="1"/>
  <c r="M39" i="8" l="1"/>
  <c r="M51" i="8" s="1"/>
  <c r="I39" i="8"/>
  <c r="I51" i="8" s="1"/>
  <c r="M40" i="8"/>
  <c r="M52" i="8" s="1"/>
  <c r="H40" i="8"/>
  <c r="H52" i="8" s="1"/>
  <c r="M11" i="13"/>
  <c r="H39" i="8"/>
  <c r="H51" i="8" s="1"/>
  <c r="E39" i="8"/>
  <c r="E51" i="8" s="1"/>
  <c r="K39" i="8"/>
  <c r="J51" i="8" s="1"/>
  <c r="L40" i="8"/>
  <c r="K52" i="8" s="1"/>
  <c r="L52" i="8" s="1"/>
  <c r="F40" i="8"/>
  <c r="F52" i="8" s="1"/>
  <c r="G52" i="8" s="1"/>
  <c r="M10" i="13"/>
  <c r="N11" i="13"/>
  <c r="F10" i="13"/>
  <c r="F39" i="8"/>
  <c r="F51" i="8" s="1"/>
  <c r="G51" i="8" s="1"/>
  <c r="K40" i="8"/>
  <c r="J52" i="8" s="1"/>
  <c r="D26" i="14"/>
  <c r="E19" i="14"/>
  <c r="E20" i="14"/>
  <c r="K20" i="14" s="1"/>
  <c r="O24" i="13"/>
  <c r="O23" i="13"/>
  <c r="N24" i="13"/>
  <c r="N23" i="13"/>
  <c r="F19" i="14" l="1"/>
  <c r="K19" i="14"/>
  <c r="F20" i="14"/>
  <c r="E24" i="14"/>
  <c r="E25" i="14"/>
  <c r="E23" i="14"/>
  <c r="E22" i="14"/>
  <c r="E21" i="14"/>
  <c r="D11" i="8"/>
  <c r="D13" i="8"/>
  <c r="C12" i="8"/>
  <c r="C13" i="8"/>
  <c r="C14" i="8"/>
  <c r="C15" i="8"/>
  <c r="C16" i="8"/>
  <c r="C17" i="8"/>
  <c r="G23" i="7"/>
  <c r="A14" i="8" s="1"/>
  <c r="G20" i="7"/>
  <c r="L20" i="7" s="1"/>
  <c r="C7" i="7"/>
  <c r="H21" i="7" s="1"/>
  <c r="C6" i="7"/>
  <c r="H20" i="7" s="1"/>
  <c r="A7" i="7"/>
  <c r="G21" i="7" s="1"/>
  <c r="A8" i="7"/>
  <c r="G22" i="7" s="1"/>
  <c r="A13" i="8" s="1"/>
  <c r="A9" i="7"/>
  <c r="A10" i="7"/>
  <c r="G24" i="7" s="1"/>
  <c r="A15" i="8" s="1"/>
  <c r="A11" i="7"/>
  <c r="G25" i="7" s="1"/>
  <c r="A16" i="8" s="1"/>
  <c r="A12" i="7"/>
  <c r="G26" i="7" s="1"/>
  <c r="A6" i="7"/>
  <c r="I6" i="5"/>
  <c r="B6" i="7" s="1"/>
  <c r="I20" i="7" s="1"/>
  <c r="I7" i="5"/>
  <c r="B7" i="7" s="1"/>
  <c r="I21" i="7" s="1"/>
  <c r="I12" i="5"/>
  <c r="I11" i="5" s="1"/>
  <c r="Z52" i="12"/>
  <c r="X52" i="12"/>
  <c r="V52" i="12"/>
  <c r="AB52" i="12" s="1"/>
  <c r="T52" i="12"/>
  <c r="R52" i="12"/>
  <c r="I23" i="12"/>
  <c r="L23" i="12" s="1"/>
  <c r="F20" i="12"/>
  <c r="X37" i="12" s="1"/>
  <c r="F19" i="12"/>
  <c r="V37" i="12" s="1"/>
  <c r="F18" i="12"/>
  <c r="T37" i="12" s="1"/>
  <c r="Z37" i="12" s="1"/>
  <c r="F17" i="12"/>
  <c r="R37" i="12" s="1"/>
  <c r="R39" i="12" s="1"/>
  <c r="E13" i="12"/>
  <c r="AE7" i="12"/>
  <c r="AF6" i="12"/>
  <c r="AG5" i="12"/>
  <c r="AF5" i="12"/>
  <c r="AB5" i="12"/>
  <c r="Z5" i="12"/>
  <c r="AI4" i="12"/>
  <c r="AH4" i="12"/>
  <c r="AG4" i="12"/>
  <c r="AF4" i="12"/>
  <c r="B20" i="12" s="1"/>
  <c r="C20" i="12" s="1"/>
  <c r="E14" i="13" l="1"/>
  <c r="E27" i="13"/>
  <c r="E12" i="13"/>
  <c r="E25" i="13"/>
  <c r="K20" i="7"/>
  <c r="J20" i="7"/>
  <c r="A17" i="8"/>
  <c r="A18" i="8"/>
  <c r="K21" i="7"/>
  <c r="J21" i="7"/>
  <c r="E28" i="13"/>
  <c r="E15" i="13"/>
  <c r="L21" i="7"/>
  <c r="B40" i="8" s="1"/>
  <c r="A12" i="8"/>
  <c r="E13" i="13"/>
  <c r="E26" i="13"/>
  <c r="V44" i="12"/>
  <c r="AB44" i="12" s="1"/>
  <c r="V48" i="12"/>
  <c r="AB48" i="12" s="1"/>
  <c r="D14" i="8"/>
  <c r="F26" i="13"/>
  <c r="F13" i="13"/>
  <c r="D15" i="8"/>
  <c r="F14" i="13"/>
  <c r="F27" i="13"/>
  <c r="A11" i="8"/>
  <c r="D17" i="8"/>
  <c r="F16" i="13"/>
  <c r="F29" i="13"/>
  <c r="F12" i="13"/>
  <c r="F25" i="13"/>
  <c r="B18" i="12"/>
  <c r="C18" i="12" s="1"/>
  <c r="D16" i="8"/>
  <c r="F15" i="13"/>
  <c r="F28" i="13"/>
  <c r="D12" i="8"/>
  <c r="I12" i="8" s="1"/>
  <c r="I24" i="8" s="1"/>
  <c r="F11" i="13"/>
  <c r="F24" i="13"/>
  <c r="E26" i="14"/>
  <c r="B39" i="8"/>
  <c r="B11" i="8"/>
  <c r="B12" i="8"/>
  <c r="I24" i="12"/>
  <c r="I25" i="12" s="1"/>
  <c r="F21" i="14"/>
  <c r="H12" i="8"/>
  <c r="H24" i="8" s="1"/>
  <c r="E11" i="8"/>
  <c r="I11" i="8"/>
  <c r="I23" i="8" s="1"/>
  <c r="H11" i="8"/>
  <c r="H23" i="8" s="1"/>
  <c r="M11" i="8"/>
  <c r="M23" i="8" s="1"/>
  <c r="F12" i="8"/>
  <c r="F24" i="8" s="1"/>
  <c r="G24" i="8" s="1"/>
  <c r="K12" i="8"/>
  <c r="J24" i="8" s="1"/>
  <c r="E12" i="8"/>
  <c r="E24" i="8" s="1"/>
  <c r="L12" i="8"/>
  <c r="K24" i="8" s="1"/>
  <c r="L24" i="8" s="1"/>
  <c r="L11" i="8"/>
  <c r="K23" i="8" s="1"/>
  <c r="L23" i="8" s="1"/>
  <c r="K11" i="8"/>
  <c r="J23" i="8" s="1"/>
  <c r="B12" i="7"/>
  <c r="I26" i="7" s="1"/>
  <c r="I10" i="5"/>
  <c r="B11" i="7"/>
  <c r="I25" i="7" s="1"/>
  <c r="G20" i="12"/>
  <c r="Y5" i="12"/>
  <c r="G18" i="12"/>
  <c r="U6" i="12" s="1"/>
  <c r="U5" i="12"/>
  <c r="AA5" i="12" s="1"/>
  <c r="R43" i="12"/>
  <c r="T51" i="12"/>
  <c r="Z51" i="12" s="1"/>
  <c r="T50" i="12"/>
  <c r="Z50" i="12" s="1"/>
  <c r="T49" i="12"/>
  <c r="Z49" i="12" s="1"/>
  <c r="T48" i="12"/>
  <c r="Z48" i="12" s="1"/>
  <c r="T47" i="12"/>
  <c r="Z47" i="12" s="1"/>
  <c r="T46" i="12"/>
  <c r="Z46" i="12" s="1"/>
  <c r="T45" i="12"/>
  <c r="Z45" i="12" s="1"/>
  <c r="T44" i="12"/>
  <c r="Z44" i="12" s="1"/>
  <c r="T43" i="12"/>
  <c r="Z43" i="12" s="1"/>
  <c r="T42" i="12"/>
  <c r="Z42" i="12" s="1"/>
  <c r="T41" i="12"/>
  <c r="Z41" i="12" s="1"/>
  <c r="T40" i="12"/>
  <c r="Z40" i="12" s="1"/>
  <c r="T39" i="12"/>
  <c r="Z39" i="12" s="1"/>
  <c r="T38" i="12"/>
  <c r="Z38" i="12" s="1"/>
  <c r="R48" i="12"/>
  <c r="R44" i="12"/>
  <c r="R40" i="12"/>
  <c r="R49" i="12"/>
  <c r="R45" i="12"/>
  <c r="R41" i="12"/>
  <c r="R50" i="12"/>
  <c r="R46" i="12"/>
  <c r="R42" i="12"/>
  <c r="R38" i="12"/>
  <c r="E20" i="12"/>
  <c r="E18" i="12"/>
  <c r="E19" i="12"/>
  <c r="E17" i="12"/>
  <c r="AB37" i="12"/>
  <c r="V49" i="12"/>
  <c r="AB49" i="12" s="1"/>
  <c r="V45" i="12"/>
  <c r="AB45" i="12" s="1"/>
  <c r="V41" i="12"/>
  <c r="AB41" i="12" s="1"/>
  <c r="V50" i="12"/>
  <c r="AB50" i="12" s="1"/>
  <c r="V46" i="12"/>
  <c r="AB46" i="12" s="1"/>
  <c r="V42" i="12"/>
  <c r="AB42" i="12" s="1"/>
  <c r="V38" i="12"/>
  <c r="AB38" i="12" s="1"/>
  <c r="V51" i="12"/>
  <c r="AB51" i="12" s="1"/>
  <c r="V47" i="12"/>
  <c r="AB47" i="12" s="1"/>
  <c r="V43" i="12"/>
  <c r="AB43" i="12" s="1"/>
  <c r="V39" i="12"/>
  <c r="AB39" i="12" s="1"/>
  <c r="L24" i="12"/>
  <c r="V40" i="12"/>
  <c r="AB40" i="12" s="1"/>
  <c r="R51" i="12"/>
  <c r="B19" i="12"/>
  <c r="C19" i="12" s="1"/>
  <c r="B17" i="12"/>
  <c r="C17" i="12" s="1"/>
  <c r="X51" i="12"/>
  <c r="X50" i="12"/>
  <c r="X49" i="12"/>
  <c r="X48" i="12"/>
  <c r="X47" i="12"/>
  <c r="X46" i="12"/>
  <c r="X45" i="12"/>
  <c r="X44" i="12"/>
  <c r="X43" i="12"/>
  <c r="X42" i="12"/>
  <c r="X41" i="12"/>
  <c r="X40" i="12"/>
  <c r="X39" i="12"/>
  <c r="X38" i="12"/>
  <c r="R47" i="12"/>
  <c r="M12" i="8" l="1"/>
  <c r="M24" i="8" s="1"/>
  <c r="N15" i="13"/>
  <c r="M15" i="13"/>
  <c r="O15" i="13" s="1"/>
  <c r="N12" i="13"/>
  <c r="M12" i="13"/>
  <c r="O12" i="13" s="1"/>
  <c r="E10" i="13"/>
  <c r="E23" i="13"/>
  <c r="E24" i="13"/>
  <c r="E11" i="13"/>
  <c r="M28" i="13"/>
  <c r="O28" i="13" s="1"/>
  <c r="N28" i="13"/>
  <c r="M14" i="13"/>
  <c r="N14" i="13"/>
  <c r="E16" i="13"/>
  <c r="E29" i="13"/>
  <c r="M29" i="13"/>
  <c r="N29" i="13"/>
  <c r="O29" i="13" s="1"/>
  <c r="N13" i="13"/>
  <c r="M13" i="13"/>
  <c r="M25" i="13"/>
  <c r="N25" i="13"/>
  <c r="A13" i="13"/>
  <c r="A26" i="13"/>
  <c r="A12" i="13"/>
  <c r="A25" i="13"/>
  <c r="N16" i="13"/>
  <c r="M16" i="13"/>
  <c r="O16" i="13" s="1"/>
  <c r="N27" i="13"/>
  <c r="M27" i="13"/>
  <c r="O27" i="13" s="1"/>
  <c r="M26" i="13"/>
  <c r="N26" i="13"/>
  <c r="O26" i="13" s="1"/>
  <c r="A15" i="13"/>
  <c r="A28" i="13"/>
  <c r="A14" i="13"/>
  <c r="A27" i="13"/>
  <c r="F22" i="14"/>
  <c r="H21" i="14"/>
  <c r="F11" i="8"/>
  <c r="F23" i="8" s="1"/>
  <c r="G23" i="8" s="1"/>
  <c r="E23" i="8"/>
  <c r="B10" i="7"/>
  <c r="I24" i="7" s="1"/>
  <c r="I9" i="5"/>
  <c r="G19" i="12"/>
  <c r="W5" i="12"/>
  <c r="AC5" i="12" s="1"/>
  <c r="I26" i="12"/>
  <c r="L26" i="12" s="1"/>
  <c r="L25" i="12"/>
  <c r="D20" i="12"/>
  <c r="X7" i="12"/>
  <c r="V7" i="12"/>
  <c r="D19" i="12"/>
  <c r="G17" i="12"/>
  <c r="S6" i="12" s="1"/>
  <c r="S7" i="12" s="1"/>
  <c r="S5" i="12"/>
  <c r="D18" i="12"/>
  <c r="T7" i="12"/>
  <c r="AA6" i="12"/>
  <c r="U7" i="12"/>
  <c r="D17" i="12"/>
  <c r="R7" i="12"/>
  <c r="Y6" i="12"/>
  <c r="Y7" i="12" s="1"/>
  <c r="O6" i="12"/>
  <c r="A16" i="13" l="1"/>
  <c r="A29" i="13"/>
  <c r="A23" i="13"/>
  <c r="A10" i="13"/>
  <c r="M21" i="14"/>
  <c r="O21" i="14"/>
  <c r="O25" i="13"/>
  <c r="O14" i="13"/>
  <c r="A11" i="13"/>
  <c r="A24" i="13"/>
  <c r="O13" i="13"/>
  <c r="F23" i="14"/>
  <c r="H22" i="14"/>
  <c r="I8" i="5"/>
  <c r="B8" i="7" s="1"/>
  <c r="I22" i="7" s="1"/>
  <c r="B9" i="7"/>
  <c r="I23" i="7" s="1"/>
  <c r="R27" i="12"/>
  <c r="R23" i="12"/>
  <c r="R36" i="12"/>
  <c r="S36" i="12" s="1"/>
  <c r="R34" i="12"/>
  <c r="S34" i="12" s="1"/>
  <c r="R32" i="12"/>
  <c r="R30" i="12"/>
  <c r="R25" i="12"/>
  <c r="R22" i="12"/>
  <c r="R21" i="12"/>
  <c r="R20" i="12"/>
  <c r="R18" i="12"/>
  <c r="R16" i="12"/>
  <c r="R15" i="12"/>
  <c r="R14" i="12"/>
  <c r="R13" i="12"/>
  <c r="R28" i="12"/>
  <c r="S28" i="12" s="1"/>
  <c r="R31" i="12"/>
  <c r="R26" i="12"/>
  <c r="R24" i="12"/>
  <c r="S24" i="12" s="1"/>
  <c r="R19" i="12"/>
  <c r="S19" i="12" s="1"/>
  <c r="R10" i="12"/>
  <c r="R9" i="12"/>
  <c r="R8" i="12"/>
  <c r="S8" i="12" s="1"/>
  <c r="R33" i="12"/>
  <c r="S33" i="12" s="1"/>
  <c r="R11" i="12"/>
  <c r="R35" i="12"/>
  <c r="R17" i="12"/>
  <c r="S17" i="12" s="1"/>
  <c r="R12" i="12"/>
  <c r="S12" i="12" s="1"/>
  <c r="R29" i="12"/>
  <c r="T36" i="12"/>
  <c r="Z36" i="12" s="1"/>
  <c r="T34" i="12"/>
  <c r="Z34" i="12" s="1"/>
  <c r="T32" i="12"/>
  <c r="Z32" i="12" s="1"/>
  <c r="T30" i="12"/>
  <c r="Z30" i="12" s="1"/>
  <c r="T28" i="12"/>
  <c r="Z28" i="12" s="1"/>
  <c r="T26" i="12"/>
  <c r="Z26" i="12" s="1"/>
  <c r="T24" i="12"/>
  <c r="Z24" i="12" s="1"/>
  <c r="T19" i="12"/>
  <c r="Z19" i="12" s="1"/>
  <c r="T17" i="12"/>
  <c r="Z17" i="12" s="1"/>
  <c r="T35" i="12"/>
  <c r="Z35" i="12" s="1"/>
  <c r="T33" i="12"/>
  <c r="Z33" i="12" s="1"/>
  <c r="T31" i="12"/>
  <c r="Z31" i="12" s="1"/>
  <c r="T29" i="12"/>
  <c r="Z29" i="12" s="1"/>
  <c r="T23" i="12"/>
  <c r="Z23" i="12" s="1"/>
  <c r="T21" i="12"/>
  <c r="Z21" i="12" s="1"/>
  <c r="Z7" i="12"/>
  <c r="T16" i="12"/>
  <c r="Z16" i="12" s="1"/>
  <c r="T22" i="12"/>
  <c r="Z22" i="12" s="1"/>
  <c r="T18" i="12"/>
  <c r="Z18" i="12" s="1"/>
  <c r="T14" i="12"/>
  <c r="Z14" i="12" s="1"/>
  <c r="T12" i="12"/>
  <c r="Z12" i="12" s="1"/>
  <c r="T25" i="12"/>
  <c r="Z25" i="12" s="1"/>
  <c r="T13" i="12"/>
  <c r="Z13" i="12" s="1"/>
  <c r="T27" i="12"/>
  <c r="Z27" i="12" s="1"/>
  <c r="T15" i="12"/>
  <c r="Z15" i="12" s="1"/>
  <c r="T11" i="12"/>
  <c r="Z11" i="12" s="1"/>
  <c r="T9" i="12"/>
  <c r="Z9" i="12" s="1"/>
  <c r="T8" i="12"/>
  <c r="Z8" i="12" s="1"/>
  <c r="T20" i="12"/>
  <c r="Z20" i="12" s="1"/>
  <c r="T10" i="12"/>
  <c r="Z10" i="12" s="1"/>
  <c r="G29" i="12"/>
  <c r="M24" i="12" s="1"/>
  <c r="G25" i="12"/>
  <c r="V6" i="12"/>
  <c r="AB6" i="12" s="1"/>
  <c r="G23" i="12"/>
  <c r="R6" i="12"/>
  <c r="G24" i="12"/>
  <c r="T6" i="12"/>
  <c r="Z6" i="12" s="1"/>
  <c r="V28" i="12"/>
  <c r="AB28" i="12" s="1"/>
  <c r="V26" i="12"/>
  <c r="AB26" i="12" s="1"/>
  <c r="V23" i="12"/>
  <c r="AB23" i="12" s="1"/>
  <c r="V35" i="12"/>
  <c r="AB35" i="12" s="1"/>
  <c r="V33" i="12"/>
  <c r="AB33" i="12" s="1"/>
  <c r="V31" i="12"/>
  <c r="AB31" i="12" s="1"/>
  <c r="V29" i="12"/>
  <c r="AB29" i="12" s="1"/>
  <c r="V25" i="12"/>
  <c r="AB25" i="12" s="1"/>
  <c r="V22" i="12"/>
  <c r="AB22" i="12" s="1"/>
  <c r="V21" i="12"/>
  <c r="AB21" i="12" s="1"/>
  <c r="V20" i="12"/>
  <c r="AB20" i="12" s="1"/>
  <c r="V18" i="12"/>
  <c r="AB18" i="12" s="1"/>
  <c r="V16" i="12"/>
  <c r="AB16" i="12" s="1"/>
  <c r="V15" i="12"/>
  <c r="AB15" i="12" s="1"/>
  <c r="V14" i="12"/>
  <c r="AB14" i="12" s="1"/>
  <c r="V13" i="12"/>
  <c r="AB13" i="12" s="1"/>
  <c r="V27" i="12"/>
  <c r="AB27" i="12" s="1"/>
  <c r="V36" i="12"/>
  <c r="AB36" i="12" s="1"/>
  <c r="V11" i="12"/>
  <c r="AB11" i="12" s="1"/>
  <c r="V9" i="12"/>
  <c r="AB9" i="12" s="1"/>
  <c r="V8" i="12"/>
  <c r="AB8" i="12" s="1"/>
  <c r="V30" i="12"/>
  <c r="AB30" i="12" s="1"/>
  <c r="V17" i="12"/>
  <c r="AB17" i="12" s="1"/>
  <c r="V10" i="12"/>
  <c r="AB10" i="12" s="1"/>
  <c r="V34" i="12"/>
  <c r="AB34" i="12" s="1"/>
  <c r="V12" i="12"/>
  <c r="AB12" i="12" s="1"/>
  <c r="AB7" i="12"/>
  <c r="V32" i="12"/>
  <c r="AB32" i="12" s="1"/>
  <c r="V24" i="12"/>
  <c r="AB24" i="12" s="1"/>
  <c r="V19" i="12"/>
  <c r="AB19" i="12" s="1"/>
  <c r="U52" i="12"/>
  <c r="AA52" i="12" s="1"/>
  <c r="U51" i="12"/>
  <c r="AA51" i="12" s="1"/>
  <c r="U50" i="12"/>
  <c r="AA50" i="12" s="1"/>
  <c r="U49" i="12"/>
  <c r="AA49" i="12" s="1"/>
  <c r="U48" i="12"/>
  <c r="AA48" i="12" s="1"/>
  <c r="U47" i="12"/>
  <c r="AA47" i="12" s="1"/>
  <c r="U46" i="12"/>
  <c r="AA46" i="12" s="1"/>
  <c r="U45" i="12"/>
  <c r="AA45" i="12" s="1"/>
  <c r="U44" i="12"/>
  <c r="AA44" i="12" s="1"/>
  <c r="U43" i="12"/>
  <c r="AA43" i="12" s="1"/>
  <c r="U42" i="12"/>
  <c r="AA42" i="12" s="1"/>
  <c r="U41" i="12"/>
  <c r="AA41" i="12" s="1"/>
  <c r="U40" i="12"/>
  <c r="AA40" i="12" s="1"/>
  <c r="U39" i="12"/>
  <c r="AA39" i="12" s="1"/>
  <c r="U38" i="12"/>
  <c r="AA38" i="12" s="1"/>
  <c r="U37" i="12"/>
  <c r="AA37" i="12" s="1"/>
  <c r="U36" i="12"/>
  <c r="AA36" i="12" s="1"/>
  <c r="U34" i="12"/>
  <c r="AA34" i="12" s="1"/>
  <c r="U33" i="12"/>
  <c r="AA33" i="12" s="1"/>
  <c r="U31" i="12"/>
  <c r="AA31" i="12" s="1"/>
  <c r="U30" i="12"/>
  <c r="AA30" i="12" s="1"/>
  <c r="U29" i="12"/>
  <c r="AA29" i="12" s="1"/>
  <c r="U28" i="12"/>
  <c r="AA28" i="12" s="1"/>
  <c r="U27" i="12"/>
  <c r="AA27" i="12" s="1"/>
  <c r="U19" i="12"/>
  <c r="AA19" i="12" s="1"/>
  <c r="U17" i="12"/>
  <c r="AA17" i="12" s="1"/>
  <c r="U25" i="12"/>
  <c r="AA25" i="12" s="1"/>
  <c r="U22" i="12"/>
  <c r="AA22" i="12" s="1"/>
  <c r="U20" i="12"/>
  <c r="AA20" i="12" s="1"/>
  <c r="U16" i="12"/>
  <c r="AA16" i="12" s="1"/>
  <c r="U15" i="12"/>
  <c r="AA15" i="12" s="1"/>
  <c r="U14" i="12"/>
  <c r="AA14" i="12" s="1"/>
  <c r="U12" i="12"/>
  <c r="AA12" i="12" s="1"/>
  <c r="AA7" i="12"/>
  <c r="U8" i="12"/>
  <c r="AA8" i="12" s="1"/>
  <c r="U10" i="12"/>
  <c r="AA10" i="12" s="1"/>
  <c r="X36" i="12"/>
  <c r="X35" i="12"/>
  <c r="Y35" i="12" s="1"/>
  <c r="X33" i="12"/>
  <c r="X31" i="12"/>
  <c r="Y31" i="12" s="1"/>
  <c r="X29" i="12"/>
  <c r="X25" i="12"/>
  <c r="Y25" i="12" s="1"/>
  <c r="X27" i="12"/>
  <c r="Y27" i="12" s="1"/>
  <c r="X24" i="12"/>
  <c r="X19" i="12"/>
  <c r="X17" i="12"/>
  <c r="Y17" i="12" s="1"/>
  <c r="X34" i="12"/>
  <c r="X32" i="12"/>
  <c r="Y32" i="12" s="1"/>
  <c r="X30" i="12"/>
  <c r="X23" i="12"/>
  <c r="Y23" i="12" s="1"/>
  <c r="X28" i="12"/>
  <c r="Y28" i="12" s="1"/>
  <c r="X22" i="12"/>
  <c r="Y22" i="12" s="1"/>
  <c r="X18" i="12"/>
  <c r="X14" i="12"/>
  <c r="Y14" i="12" s="1"/>
  <c r="X10" i="12"/>
  <c r="X11" i="12"/>
  <c r="Y11" i="12" s="1"/>
  <c r="X15" i="12"/>
  <c r="X13" i="12"/>
  <c r="Y13" i="12" s="1"/>
  <c r="X20" i="12"/>
  <c r="X16" i="12"/>
  <c r="Y16" i="12" s="1"/>
  <c r="X12" i="12"/>
  <c r="X9" i="12"/>
  <c r="Y9" i="12" s="1"/>
  <c r="X8" i="12"/>
  <c r="Y8" i="12" s="1"/>
  <c r="X26" i="12"/>
  <c r="Y26" i="12" s="1"/>
  <c r="X21" i="12"/>
  <c r="Y52" i="12"/>
  <c r="Y51" i="12"/>
  <c r="Y50" i="12"/>
  <c r="Y49" i="12"/>
  <c r="Y48" i="12"/>
  <c r="Y47" i="12"/>
  <c r="Y46" i="12"/>
  <c r="Y45" i="12"/>
  <c r="Y44" i="12"/>
  <c r="Y43" i="12"/>
  <c r="Y42" i="12"/>
  <c r="Y41" i="12"/>
  <c r="Y40" i="12"/>
  <c r="Y39" i="12"/>
  <c r="Y38" i="12"/>
  <c r="Y37" i="12"/>
  <c r="Y36" i="12"/>
  <c r="Y34" i="12"/>
  <c r="Y33" i="12"/>
  <c r="Y30" i="12"/>
  <c r="Y29" i="12"/>
  <c r="Y24" i="12"/>
  <c r="Y19" i="12"/>
  <c r="Y21" i="12"/>
  <c r="Y20" i="12"/>
  <c r="Y18" i="12"/>
  <c r="Y15" i="12"/>
  <c r="Y10" i="12"/>
  <c r="Y12" i="12"/>
  <c r="S27" i="12"/>
  <c r="S52" i="12"/>
  <c r="S51" i="12"/>
  <c r="S50" i="12"/>
  <c r="S49" i="12"/>
  <c r="S48" i="12"/>
  <c r="S47" i="12"/>
  <c r="S46" i="12"/>
  <c r="S45" i="12"/>
  <c r="S44" i="12"/>
  <c r="S43" i="12"/>
  <c r="S42" i="12"/>
  <c r="S41" i="12"/>
  <c r="S40" i="12"/>
  <c r="S39" i="12"/>
  <c r="S38" i="12"/>
  <c r="S37" i="12"/>
  <c r="S35" i="12"/>
  <c r="S32" i="12"/>
  <c r="S31" i="12"/>
  <c r="S30" i="12"/>
  <c r="S29" i="12"/>
  <c r="S25" i="12"/>
  <c r="S22" i="12"/>
  <c r="S21" i="12"/>
  <c r="S20" i="12"/>
  <c r="S18" i="12"/>
  <c r="S16" i="12"/>
  <c r="S15" i="12"/>
  <c r="S11" i="12"/>
  <c r="S10" i="12"/>
  <c r="S26" i="12"/>
  <c r="S23" i="12"/>
  <c r="S13" i="12"/>
  <c r="S9" i="12"/>
  <c r="S14" i="12"/>
  <c r="G26" i="12"/>
  <c r="J26" i="12" s="1"/>
  <c r="X6" i="12"/>
  <c r="F29" i="12"/>
  <c r="W6" i="12"/>
  <c r="U24" i="12" l="1"/>
  <c r="AA24" i="12" s="1"/>
  <c r="U9" i="12"/>
  <c r="AA9" i="12" s="1"/>
  <c r="U13" i="12"/>
  <c r="AA13" i="12" s="1"/>
  <c r="U18" i="12"/>
  <c r="AA18" i="12" s="1"/>
  <c r="U23" i="12"/>
  <c r="AA23" i="12" s="1"/>
  <c r="U26" i="12"/>
  <c r="AA26" i="12" s="1"/>
  <c r="U35" i="12"/>
  <c r="AA35" i="12" s="1"/>
  <c r="O22" i="14"/>
  <c r="M22" i="14"/>
  <c r="U11" i="12"/>
  <c r="AA11" i="12" s="1"/>
  <c r="F24" i="14"/>
  <c r="H23" i="14"/>
  <c r="B19" i="7"/>
  <c r="M25" i="12"/>
  <c r="J23" i="12"/>
  <c r="U21" i="12"/>
  <c r="AA21" i="12" s="1"/>
  <c r="W7" i="12"/>
  <c r="AC6" i="12"/>
  <c r="U32" i="12"/>
  <c r="AA32" i="12" s="1"/>
  <c r="M26" i="12"/>
  <c r="J24" i="12"/>
  <c r="J25" i="12"/>
  <c r="M23" i="12"/>
  <c r="D26" i="12"/>
  <c r="I12" i="7" s="1"/>
  <c r="D25" i="12"/>
  <c r="O23" i="14" l="1"/>
  <c r="M23" i="14"/>
  <c r="F25" i="14"/>
  <c r="H25" i="14" s="1"/>
  <c r="H24" i="14"/>
  <c r="W28" i="12"/>
  <c r="AC28" i="12" s="1"/>
  <c r="W27" i="12"/>
  <c r="AC27" i="12" s="1"/>
  <c r="W26" i="12"/>
  <c r="AC26" i="12" s="1"/>
  <c r="W52" i="12"/>
  <c r="AC52" i="12" s="1"/>
  <c r="W51" i="12"/>
  <c r="AC51" i="12" s="1"/>
  <c r="W50" i="12"/>
  <c r="AC50" i="12" s="1"/>
  <c r="W49" i="12"/>
  <c r="AC49" i="12" s="1"/>
  <c r="W48" i="12"/>
  <c r="AC48" i="12" s="1"/>
  <c r="W47" i="12"/>
  <c r="AC47" i="12" s="1"/>
  <c r="W46" i="12"/>
  <c r="AC46" i="12" s="1"/>
  <c r="W45" i="12"/>
  <c r="AC45" i="12" s="1"/>
  <c r="W44" i="12"/>
  <c r="AC44" i="12" s="1"/>
  <c r="W43" i="12"/>
  <c r="AC43" i="12" s="1"/>
  <c r="W42" i="12"/>
  <c r="AC42" i="12" s="1"/>
  <c r="W41" i="12"/>
  <c r="AC41" i="12" s="1"/>
  <c r="W40" i="12"/>
  <c r="AC40" i="12" s="1"/>
  <c r="W39" i="12"/>
  <c r="AC39" i="12" s="1"/>
  <c r="W38" i="12"/>
  <c r="AC38" i="12" s="1"/>
  <c r="W37" i="12"/>
  <c r="AC37" i="12" s="1"/>
  <c r="W36" i="12"/>
  <c r="AC36" i="12" s="1"/>
  <c r="W35" i="12"/>
  <c r="AC35" i="12" s="1"/>
  <c r="W34" i="12"/>
  <c r="AC34" i="12" s="1"/>
  <c r="W33" i="12"/>
  <c r="AC33" i="12" s="1"/>
  <c r="W32" i="12"/>
  <c r="AC32" i="12" s="1"/>
  <c r="W31" i="12"/>
  <c r="AC31" i="12" s="1"/>
  <c r="W30" i="12"/>
  <c r="AC30" i="12" s="1"/>
  <c r="W29" i="12"/>
  <c r="AC29" i="12" s="1"/>
  <c r="W25" i="12"/>
  <c r="AC25" i="12" s="1"/>
  <c r="W22" i="12"/>
  <c r="AC22" i="12" s="1"/>
  <c r="W21" i="12"/>
  <c r="AC21" i="12" s="1"/>
  <c r="W20" i="12"/>
  <c r="AC20" i="12" s="1"/>
  <c r="W18" i="12"/>
  <c r="AC18" i="12" s="1"/>
  <c r="W16" i="12"/>
  <c r="AC16" i="12" s="1"/>
  <c r="W15" i="12"/>
  <c r="AC15" i="12" s="1"/>
  <c r="W14" i="12"/>
  <c r="AC14" i="12" s="1"/>
  <c r="W12" i="12"/>
  <c r="AC12" i="12" s="1"/>
  <c r="W11" i="12"/>
  <c r="AC11" i="12" s="1"/>
  <c r="W10" i="12"/>
  <c r="AC10" i="12" s="1"/>
  <c r="W24" i="12"/>
  <c r="AC24" i="12" s="1"/>
  <c r="W19" i="12"/>
  <c r="AC19" i="12" s="1"/>
  <c r="W17" i="12"/>
  <c r="AC17" i="12" s="1"/>
  <c r="W23" i="12"/>
  <c r="AC23" i="12" s="1"/>
  <c r="W9" i="12"/>
  <c r="AC9" i="12" s="1"/>
  <c r="W8" i="12"/>
  <c r="AC8" i="12" s="1"/>
  <c r="W13" i="12"/>
  <c r="AC13" i="12" s="1"/>
  <c r="AC7" i="12"/>
  <c r="I25" i="14" l="1"/>
  <c r="M25" i="14"/>
  <c r="O25" i="14"/>
  <c r="O24" i="14"/>
  <c r="M24" i="14"/>
  <c r="J25" i="14"/>
  <c r="K25" i="14"/>
  <c r="I24" i="14"/>
  <c r="J14" i="7"/>
  <c r="P24" i="14" l="1"/>
  <c r="N24" i="14"/>
  <c r="P25" i="14"/>
  <c r="N25" i="14"/>
  <c r="J24" i="14"/>
  <c r="K24" i="14"/>
  <c r="I23" i="14"/>
  <c r="C26" i="7"/>
  <c r="C27" i="7"/>
  <c r="P23" i="14" l="1"/>
  <c r="N23" i="14"/>
  <c r="J23" i="14"/>
  <c r="K23" i="14"/>
  <c r="I22" i="14"/>
  <c r="M19" i="10"/>
  <c r="L19" i="10"/>
  <c r="M9" i="10"/>
  <c r="L9" i="10"/>
  <c r="E19" i="10"/>
  <c r="D19" i="10"/>
  <c r="E9" i="10"/>
  <c r="D9" i="10"/>
  <c r="M10" i="11"/>
  <c r="M11" i="11"/>
  <c r="M12" i="11" s="1"/>
  <c r="M13" i="11" s="1"/>
  <c r="M14" i="11" s="1"/>
  <c r="M15" i="11" s="1"/>
  <c r="L10" i="11"/>
  <c r="L11" i="11" s="1"/>
  <c r="L12" i="11" s="1"/>
  <c r="L13" i="11" s="1"/>
  <c r="L14" i="11" s="1"/>
  <c r="L15" i="11" s="1"/>
  <c r="M27" i="11"/>
  <c r="M28" i="11" s="1"/>
  <c r="M29" i="11" s="1"/>
  <c r="M30" i="11" s="1"/>
  <c r="M31" i="11" s="1"/>
  <c r="L27" i="11"/>
  <c r="L28" i="11" s="1"/>
  <c r="L29" i="11" s="1"/>
  <c r="L30" i="11" s="1"/>
  <c r="L31" i="11" s="1"/>
  <c r="E27" i="11"/>
  <c r="E28" i="11" s="1"/>
  <c r="E29" i="11" s="1"/>
  <c r="E30" i="11" s="1"/>
  <c r="E31" i="11" s="1"/>
  <c r="D27" i="11"/>
  <c r="D28" i="11" s="1"/>
  <c r="D29" i="11" s="1"/>
  <c r="D30" i="11" s="1"/>
  <c r="D31" i="11" s="1"/>
  <c r="E11" i="11"/>
  <c r="E12" i="11"/>
  <c r="E13" i="11" s="1"/>
  <c r="E14" i="11" s="1"/>
  <c r="E15" i="11" s="1"/>
  <c r="D11" i="11"/>
  <c r="D12" i="11" s="1"/>
  <c r="D13" i="11" s="1"/>
  <c r="D14" i="11" s="1"/>
  <c r="D15" i="11" s="1"/>
  <c r="P22" i="14" l="1"/>
  <c r="N22" i="14"/>
  <c r="I21" i="14"/>
  <c r="J22" i="14"/>
  <c r="K22" i="14"/>
  <c r="G57" i="9"/>
  <c r="C57" i="9"/>
  <c r="G33" i="9"/>
  <c r="C33" i="9"/>
  <c r="H3" i="8"/>
  <c r="P21" i="14" l="1"/>
  <c r="N21" i="14"/>
  <c r="J21" i="14"/>
  <c r="J26" i="14" s="1"/>
  <c r="K21" i="14"/>
  <c r="K26" i="14" s="1"/>
  <c r="K3" i="8"/>
  <c r="L5" i="7"/>
  <c r="L7" i="7"/>
  <c r="L6" i="7"/>
  <c r="B8" i="5"/>
  <c r="J5" i="14" l="1"/>
  <c r="L6" i="14" s="1"/>
  <c r="I9" i="7"/>
  <c r="G15" i="7" s="1"/>
  <c r="C29" i="7" l="1"/>
  <c r="D29" i="7" s="1"/>
  <c r="D13" i="5" l="1"/>
  <c r="D12" i="5"/>
  <c r="L12" i="5"/>
  <c r="B11" i="5"/>
  <c r="D11" i="5" s="1"/>
  <c r="M9" i="5"/>
  <c r="L9" i="5"/>
  <c r="M8" i="5"/>
  <c r="B21" i="7" l="1"/>
  <c r="D21" i="7" s="1"/>
  <c r="L10" i="5"/>
  <c r="N9" i="5"/>
  <c r="C9" i="7" s="1"/>
  <c r="H23" i="7" s="1"/>
  <c r="J23" i="7" s="1"/>
  <c r="M10" i="5"/>
  <c r="M11" i="5" s="1"/>
  <c r="M12" i="5" s="1"/>
  <c r="N12" i="5" s="1"/>
  <c r="C12" i="7" s="1"/>
  <c r="H26" i="7" s="1"/>
  <c r="J26" i="7" s="1"/>
  <c r="L8" i="5"/>
  <c r="N8" i="5" s="1"/>
  <c r="C8" i="7" s="1"/>
  <c r="H22" i="7" l="1"/>
  <c r="L11" i="5"/>
  <c r="N11" i="5" s="1"/>
  <c r="C11" i="7" s="1"/>
  <c r="H25" i="7" s="1"/>
  <c r="J25" i="7" s="1"/>
  <c r="N10" i="5"/>
  <c r="C10" i="7" s="1"/>
  <c r="H24" i="7" s="1"/>
  <c r="J24" i="7" s="1"/>
  <c r="C13" i="7" l="1"/>
  <c r="H27" i="7"/>
  <c r="J22" i="7"/>
  <c r="J27" i="7" s="1"/>
  <c r="N13" i="5"/>
  <c r="H29" i="7" l="1"/>
  <c r="K26" i="7" l="1"/>
  <c r="K22" i="7"/>
  <c r="L22" i="7" s="1"/>
  <c r="L23" i="7" s="1"/>
  <c r="K25" i="7"/>
  <c r="K24" i="7"/>
  <c r="K23" i="7"/>
  <c r="L24" i="7" l="1"/>
  <c r="L25" i="7" s="1"/>
  <c r="L26" i="7" s="1"/>
  <c r="B44" i="8"/>
  <c r="E44" i="8" s="1"/>
  <c r="B16" i="8"/>
  <c r="E16" i="8" s="1"/>
  <c r="B41" i="8"/>
  <c r="E41" i="8" s="1"/>
  <c r="B13" i="8"/>
  <c r="E13" i="8" s="1"/>
  <c r="B45" i="8"/>
  <c r="E45" i="8" s="1"/>
  <c r="B17" i="8"/>
  <c r="E17" i="8" s="1"/>
  <c r="B43" i="8"/>
  <c r="E43" i="8" s="1"/>
  <c r="B15" i="8"/>
  <c r="E15" i="8" s="1"/>
  <c r="K27" i="7"/>
  <c r="B42" i="8" l="1"/>
  <c r="E42" i="8" s="1"/>
  <c r="B14" i="8"/>
  <c r="E14" i="8" s="1"/>
  <c r="F15" i="8"/>
  <c r="E27" i="8"/>
  <c r="K15" i="8"/>
  <c r="F45" i="8"/>
  <c r="F57" i="8" s="1"/>
  <c r="G57" i="8" s="1"/>
  <c r="K45" i="8"/>
  <c r="E57" i="8"/>
  <c r="F46" i="8"/>
  <c r="F44" i="8"/>
  <c r="E56" i="8"/>
  <c r="K44" i="8"/>
  <c r="K41" i="8"/>
  <c r="F41" i="8"/>
  <c r="E53" i="8"/>
  <c r="K17" i="8"/>
  <c r="F18" i="8"/>
  <c r="F17" i="8"/>
  <c r="F29" i="8" s="1"/>
  <c r="K16" i="8"/>
  <c r="E28" i="8"/>
  <c r="F16" i="8"/>
  <c r="K13" i="8"/>
  <c r="E25" i="8"/>
  <c r="F13" i="8"/>
  <c r="K43" i="8"/>
  <c r="F43" i="8"/>
  <c r="E55" i="8"/>
  <c r="F27" i="8" l="1"/>
  <c r="H16" i="8"/>
  <c r="F55" i="8"/>
  <c r="G55" i="8" s="1"/>
  <c r="H44" i="8"/>
  <c r="L16" i="8"/>
  <c r="J28" i="8"/>
  <c r="L44" i="8"/>
  <c r="K56" i="8" s="1"/>
  <c r="L56" i="8" s="1"/>
  <c r="J56" i="8"/>
  <c r="L43" i="8"/>
  <c r="K55" i="8" s="1"/>
  <c r="L55" i="8" s="1"/>
  <c r="J55" i="8"/>
  <c r="F42" i="8"/>
  <c r="E54" i="8"/>
  <c r="K42" i="8"/>
  <c r="F14" i="8"/>
  <c r="E26" i="8"/>
  <c r="K14" i="8"/>
  <c r="L41" i="8"/>
  <c r="K53" i="8" s="1"/>
  <c r="L53" i="8" s="1"/>
  <c r="J53" i="8"/>
  <c r="L13" i="8"/>
  <c r="J25" i="8"/>
  <c r="L45" i="8"/>
  <c r="K57" i="8" s="1"/>
  <c r="L57" i="8" s="1"/>
  <c r="J57" i="8"/>
  <c r="F58" i="8"/>
  <c r="C42" i="9"/>
  <c r="F56" i="8"/>
  <c r="G56" i="8" s="1"/>
  <c r="C66" i="9" s="1"/>
  <c r="H45" i="8"/>
  <c r="F28" i="8"/>
  <c r="H17" i="8"/>
  <c r="J27" i="8"/>
  <c r="L15" i="8"/>
  <c r="H41" i="8"/>
  <c r="F53" i="8"/>
  <c r="G53" i="8" s="1"/>
  <c r="H14" i="8"/>
  <c r="F25" i="8"/>
  <c r="G25" i="8" s="1"/>
  <c r="H13" i="8"/>
  <c r="L18" i="8"/>
  <c r="K30" i="8" s="1"/>
  <c r="C36" i="9" s="1"/>
  <c r="J29" i="8"/>
  <c r="L17" i="8"/>
  <c r="C72" i="9"/>
  <c r="L46" i="8"/>
  <c r="G27" i="8"/>
  <c r="E29" i="8"/>
  <c r="F30" i="8"/>
  <c r="G29" i="8"/>
  <c r="I14" i="8" l="1"/>
  <c r="I26" i="8" s="1"/>
  <c r="H26" i="8"/>
  <c r="I13" i="8"/>
  <c r="H25" i="8"/>
  <c r="K25" i="8"/>
  <c r="L25" i="8" s="1"/>
  <c r="H42" i="8"/>
  <c r="F54" i="8"/>
  <c r="G54" i="8" s="1"/>
  <c r="H43" i="8"/>
  <c r="K28" i="8"/>
  <c r="L28" i="8" s="1"/>
  <c r="C60" i="9" s="1"/>
  <c r="L29" i="8"/>
  <c r="K29" i="8"/>
  <c r="K27" i="8"/>
  <c r="L27" i="8" s="1"/>
  <c r="F26" i="8"/>
  <c r="G26" i="8" s="1"/>
  <c r="H15" i="8"/>
  <c r="I16" i="8"/>
  <c r="I28" i="8" s="1"/>
  <c r="H28" i="8"/>
  <c r="I44" i="8"/>
  <c r="I56" i="8" s="1"/>
  <c r="H56" i="8"/>
  <c r="C17" i="9" s="1"/>
  <c r="L42" i="8"/>
  <c r="K54" i="8" s="1"/>
  <c r="L54" i="8" s="1"/>
  <c r="J54" i="8"/>
  <c r="I41" i="8"/>
  <c r="H53" i="8"/>
  <c r="H57" i="8"/>
  <c r="C12" i="9" s="1"/>
  <c r="I45" i="8"/>
  <c r="I57" i="8" s="1"/>
  <c r="I17" i="8"/>
  <c r="H29" i="8"/>
  <c r="K58" i="8"/>
  <c r="C48" i="9" s="1"/>
  <c r="J26" i="8"/>
  <c r="L14" i="8"/>
  <c r="G28" i="8"/>
  <c r="C54" i="9" s="1"/>
  <c r="C30" i="9"/>
  <c r="M13" i="8" l="1"/>
  <c r="I25" i="8"/>
  <c r="I15" i="8"/>
  <c r="I27" i="8" s="1"/>
  <c r="H27" i="8"/>
  <c r="K26" i="8"/>
  <c r="L26" i="8" s="1"/>
  <c r="I43" i="8"/>
  <c r="I55" i="8" s="1"/>
  <c r="H55" i="8"/>
  <c r="I42" i="8"/>
  <c r="I54" i="8" s="1"/>
  <c r="H54" i="8"/>
  <c r="C22" i="9" s="1"/>
  <c r="C24" i="9" s="1"/>
  <c r="I53" i="8"/>
  <c r="M41" i="8"/>
  <c r="C14" i="9"/>
  <c r="C7" i="9"/>
  <c r="C9" i="9" s="1"/>
  <c r="I29" i="8"/>
  <c r="C19" i="9"/>
  <c r="M25" i="8" l="1"/>
  <c r="M14" i="8"/>
  <c r="M53" i="8"/>
  <c r="M42" i="8"/>
  <c r="M26" i="8" l="1"/>
  <c r="M15" i="8"/>
  <c r="M43" i="8"/>
  <c r="M54" i="8"/>
  <c r="M27" i="8" l="1"/>
  <c r="M16" i="8"/>
  <c r="M44" i="8"/>
  <c r="M55" i="8"/>
  <c r="M28" i="8" l="1"/>
  <c r="C61" i="9" s="1"/>
  <c r="M17" i="8"/>
  <c r="M29" i="8" s="1"/>
  <c r="C37" i="9" s="1"/>
  <c r="M45" i="8"/>
  <c r="M57" i="8" s="1"/>
  <c r="C49" i="9" s="1"/>
  <c r="M56" i="8"/>
  <c r="C73" i="9" s="1"/>
  <c r="G63" i="9" l="1"/>
  <c r="C63" i="9"/>
  <c r="C51" i="9"/>
  <c r="G51" i="9"/>
  <c r="C39" i="9"/>
  <c r="G39" i="9"/>
  <c r="G75" i="9"/>
  <c r="C75" i="9"/>
</calcChain>
</file>

<file path=xl/sharedStrings.xml><?xml version="1.0" encoding="utf-8"?>
<sst xmlns="http://schemas.openxmlformats.org/spreadsheetml/2006/main" count="748" uniqueCount="247">
  <si>
    <t>kN/m</t>
  </si>
  <si>
    <t>gd+qd</t>
  </si>
  <si>
    <t>Campata</t>
  </si>
  <si>
    <r>
      <t>gk+</t>
    </r>
    <r>
      <rPr>
        <sz val="11"/>
        <color theme="1"/>
        <rFont val="Symbol"/>
        <family val="1"/>
        <charset val="2"/>
      </rPr>
      <t>y</t>
    </r>
    <r>
      <rPr>
        <sz val="11"/>
        <color theme="1"/>
        <rFont val="Calibri"/>
        <family val="2"/>
        <scheme val="minor"/>
      </rPr>
      <t>2 qk</t>
    </r>
  </si>
  <si>
    <t>21-14</t>
  </si>
  <si>
    <t>16-17</t>
  </si>
  <si>
    <t>PILASTRO</t>
  </si>
  <si>
    <t>Pilastri</t>
  </si>
  <si>
    <t>kN</t>
  </si>
  <si>
    <t>15 (centrale)</t>
  </si>
  <si>
    <t>7 (laterale)</t>
  </si>
  <si>
    <t>1 (angolo)</t>
  </si>
  <si>
    <t>Masse di piano</t>
  </si>
  <si>
    <t>Stima delle masse di piano</t>
  </si>
  <si>
    <t>Peso delle masse di piano</t>
  </si>
  <si>
    <t>piano</t>
  </si>
  <si>
    <t>peso un.</t>
  </si>
  <si>
    <t>W [kN]</t>
  </si>
  <si>
    <t>torrino</t>
  </si>
  <si>
    <t>5 + torrino</t>
  </si>
  <si>
    <t>quinto impalcato</t>
  </si>
  <si>
    <t>peso medio</t>
  </si>
  <si>
    <t>peso</t>
  </si>
  <si>
    <t>torrino + V impalcato</t>
  </si>
  <si>
    <t>piano tipo</t>
  </si>
  <si>
    <t>Totale</t>
  </si>
  <si>
    <t>primo piano</t>
  </si>
  <si>
    <t>suolo</t>
  </si>
  <si>
    <t>C</t>
  </si>
  <si>
    <t>SLV</t>
  </si>
  <si>
    <t>T1</t>
  </si>
  <si>
    <t>SLD</t>
  </si>
  <si>
    <t>m</t>
  </si>
  <si>
    <t>C1</t>
  </si>
  <si>
    <t>s</t>
  </si>
  <si>
    <t>h [m]</t>
  </si>
  <si>
    <t>Spettri di risposta</t>
  </si>
  <si>
    <t>progetto</t>
  </si>
  <si>
    <t>Località</t>
  </si>
  <si>
    <t>Piazza Cairoli, Messina</t>
  </si>
  <si>
    <t>Parametri</t>
  </si>
  <si>
    <t>SLO</t>
  </si>
  <si>
    <t>SLC</t>
  </si>
  <si>
    <t>T</t>
  </si>
  <si>
    <r>
      <t>S</t>
    </r>
    <r>
      <rPr>
        <vertAlign val="subscript"/>
        <sz val="9"/>
        <color theme="0" tint="-0.499984740745262"/>
        <rFont val="Arial"/>
        <family val="2"/>
      </rPr>
      <t>e</t>
    </r>
    <r>
      <rPr>
        <sz val="9"/>
        <color theme="0" tint="-0.499984740745262"/>
        <rFont val="Arial"/>
        <family val="2"/>
      </rPr>
      <t>(T)</t>
    </r>
  </si>
  <si>
    <t>Pericolosità sismica</t>
  </si>
  <si>
    <t>stato limite</t>
  </si>
  <si>
    <r>
      <t>T</t>
    </r>
    <r>
      <rPr>
        <vertAlign val="subscript"/>
        <sz val="10"/>
        <rFont val="Arial"/>
        <family val="2"/>
      </rPr>
      <t>r</t>
    </r>
  </si>
  <si>
    <r>
      <t>a</t>
    </r>
    <r>
      <rPr>
        <vertAlign val="subscript"/>
        <sz val="10"/>
        <rFont val="Arial"/>
        <family val="2"/>
      </rPr>
      <t>g</t>
    </r>
  </si>
  <si>
    <r>
      <t>F</t>
    </r>
    <r>
      <rPr>
        <vertAlign val="subscript"/>
        <sz val="10"/>
        <rFont val="Arial"/>
        <family val="2"/>
      </rPr>
      <t>o</t>
    </r>
  </si>
  <si>
    <r>
      <t>T</t>
    </r>
    <r>
      <rPr>
        <vertAlign val="subscript"/>
        <sz val="10"/>
        <rFont val="Arial"/>
        <family val="2"/>
      </rPr>
      <t>C</t>
    </r>
    <r>
      <rPr>
        <sz val="10"/>
        <color theme="1"/>
        <rFont val="Arial"/>
        <family val="2"/>
      </rPr>
      <t>*</t>
    </r>
  </si>
  <si>
    <t>h</t>
  </si>
  <si>
    <r>
      <t>T</t>
    </r>
    <r>
      <rPr>
        <vertAlign val="subscript"/>
        <sz val="9"/>
        <color theme="0" tint="-0.499984740745262"/>
        <rFont val="Arial"/>
        <family val="2"/>
      </rPr>
      <t>B</t>
    </r>
  </si>
  <si>
    <r>
      <t>T</t>
    </r>
    <r>
      <rPr>
        <vertAlign val="subscript"/>
        <sz val="9"/>
        <color theme="0" tint="-0.499984740745262"/>
        <rFont val="Arial"/>
        <family val="2"/>
      </rPr>
      <t>C</t>
    </r>
  </si>
  <si>
    <t>categoria topografica</t>
  </si>
  <si>
    <t>smorzamento</t>
  </si>
  <si>
    <t>Si ottiene:</t>
  </si>
  <si>
    <t>S</t>
  </si>
  <si>
    <r>
      <t>S a</t>
    </r>
    <r>
      <rPr>
        <vertAlign val="subscript"/>
        <sz val="10"/>
        <rFont val="Arial"/>
        <family val="2"/>
      </rPr>
      <t>g</t>
    </r>
  </si>
  <si>
    <r>
      <t>T</t>
    </r>
    <r>
      <rPr>
        <vertAlign val="subscript"/>
        <sz val="10"/>
        <rFont val="Arial"/>
        <family val="2"/>
      </rPr>
      <t>B</t>
    </r>
  </si>
  <si>
    <r>
      <t>T</t>
    </r>
    <r>
      <rPr>
        <vertAlign val="subscript"/>
        <sz val="10"/>
        <rFont val="Arial"/>
        <family val="2"/>
      </rPr>
      <t>C</t>
    </r>
  </si>
  <si>
    <r>
      <t>T</t>
    </r>
    <r>
      <rPr>
        <vertAlign val="subscript"/>
        <sz val="10"/>
        <rFont val="Arial"/>
        <family val="2"/>
      </rPr>
      <t>D</t>
    </r>
  </si>
  <si>
    <r>
      <t>S</t>
    </r>
    <r>
      <rPr>
        <vertAlign val="subscript"/>
        <sz val="10"/>
        <rFont val="Arial"/>
        <family val="2"/>
      </rPr>
      <t>e</t>
    </r>
    <r>
      <rPr>
        <sz val="10"/>
        <color theme="1"/>
        <rFont val="Arial"/>
        <family val="2"/>
      </rPr>
      <t>(T</t>
    </r>
    <r>
      <rPr>
        <vertAlign val="subscript"/>
        <sz val="10"/>
        <rFont val="Arial"/>
        <family val="2"/>
      </rPr>
      <t>C</t>
    </r>
    <r>
      <rPr>
        <sz val="10"/>
        <color theme="1"/>
        <rFont val="Arial"/>
        <family val="2"/>
      </rPr>
      <t>)</t>
    </r>
  </si>
  <si>
    <r>
      <t>S</t>
    </r>
    <r>
      <rPr>
        <vertAlign val="subscript"/>
        <sz val="10"/>
        <rFont val="Arial"/>
        <family val="2"/>
      </rPr>
      <t>e</t>
    </r>
    <r>
      <rPr>
        <sz val="10"/>
        <color theme="1"/>
        <rFont val="Arial"/>
        <family val="2"/>
      </rPr>
      <t>(T</t>
    </r>
    <r>
      <rPr>
        <vertAlign val="subscript"/>
        <sz val="10"/>
        <rFont val="Arial"/>
        <family val="2"/>
      </rPr>
      <t>1</t>
    </r>
    <r>
      <rPr>
        <sz val="10"/>
        <color theme="1"/>
        <rFont val="Arial"/>
        <family val="2"/>
      </rPr>
      <t>)</t>
    </r>
  </si>
  <si>
    <t>periodo fondamentale T1</t>
  </si>
  <si>
    <t>SLV/SLO</t>
  </si>
  <si>
    <t>1.5 SLV/SLD</t>
  </si>
  <si>
    <r>
      <t>S</t>
    </r>
    <r>
      <rPr>
        <vertAlign val="subscript"/>
        <sz val="10"/>
        <rFont val="Arial"/>
        <family val="2"/>
      </rPr>
      <t>d</t>
    </r>
    <r>
      <rPr>
        <sz val="10"/>
        <color theme="1"/>
        <rFont val="Arial"/>
        <family val="2"/>
      </rPr>
      <t>(T</t>
    </r>
    <r>
      <rPr>
        <vertAlign val="subscript"/>
        <sz val="10"/>
        <rFont val="Arial"/>
        <family val="2"/>
      </rPr>
      <t>C</t>
    </r>
    <r>
      <rPr>
        <sz val="10"/>
        <color theme="1"/>
        <rFont val="Arial"/>
        <family val="2"/>
      </rPr>
      <t>)</t>
    </r>
  </si>
  <si>
    <r>
      <t>S</t>
    </r>
    <r>
      <rPr>
        <vertAlign val="subscript"/>
        <sz val="10"/>
        <rFont val="Arial"/>
        <family val="2"/>
      </rPr>
      <t>d</t>
    </r>
    <r>
      <rPr>
        <sz val="10"/>
        <color theme="1"/>
        <rFont val="Arial"/>
        <family val="2"/>
      </rPr>
      <t>(T</t>
    </r>
    <r>
      <rPr>
        <vertAlign val="subscript"/>
        <sz val="10"/>
        <rFont val="Arial"/>
        <family val="2"/>
      </rPr>
      <t>1</t>
    </r>
    <r>
      <rPr>
        <sz val="10"/>
        <color theme="1"/>
        <rFont val="Arial"/>
        <family val="2"/>
      </rPr>
      <t>)</t>
    </r>
  </si>
  <si>
    <t>fattore di comportamento q</t>
  </si>
  <si>
    <r>
      <t>T</t>
    </r>
    <r>
      <rPr>
        <vertAlign val="subscript"/>
        <sz val="9"/>
        <color theme="0" tint="-0.499984740745262"/>
        <rFont val="Arial"/>
        <family val="2"/>
      </rPr>
      <t>D</t>
    </r>
  </si>
  <si>
    <t>Calcolo delle azioni sismiche (forze per analisi statica)</t>
  </si>
  <si>
    <r>
      <t>area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</si>
  <si>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area</t>
  </si>
  <si>
    <t>(in base alle formule di normativa)</t>
  </si>
  <si>
    <t>classe duttilità CD</t>
  </si>
  <si>
    <t>A</t>
  </si>
  <si>
    <t>regolare in pianta</t>
  </si>
  <si>
    <t>si</t>
  </si>
  <si>
    <t>regolare in altezza</t>
  </si>
  <si>
    <t>Parametri scelti</t>
  </si>
  <si>
    <t>q0</t>
  </si>
  <si>
    <t>au /a1</t>
  </si>
  <si>
    <t>KR</t>
  </si>
  <si>
    <t>q</t>
  </si>
  <si>
    <t>z</t>
  </si>
  <si>
    <t>Stima periodo</t>
  </si>
  <si>
    <t>H edificio</t>
  </si>
  <si>
    <t>per SLV</t>
  </si>
  <si>
    <r>
      <t>S</t>
    </r>
    <r>
      <rPr>
        <vertAlign val="subscript"/>
        <sz val="10"/>
        <rFont val="Arial"/>
        <family val="2"/>
      </rPr>
      <t>d</t>
    </r>
    <r>
      <rPr>
        <sz val="10"/>
        <color theme="1"/>
        <rFont val="Arial"/>
        <family val="2"/>
      </rPr>
      <t>(T</t>
    </r>
    <r>
      <rPr>
        <vertAlign val="subscript"/>
        <sz val="10"/>
        <rFont val="Arial"/>
        <family val="2"/>
      </rPr>
      <t>1</t>
    </r>
    <r>
      <rPr>
        <sz val="10"/>
        <color theme="1"/>
        <rFont val="Arial"/>
        <family val="2"/>
      </rPr>
      <t>) =</t>
    </r>
  </si>
  <si>
    <t>g</t>
  </si>
  <si>
    <t>per SLD</t>
  </si>
  <si>
    <r>
      <t>S</t>
    </r>
    <r>
      <rPr>
        <vertAlign val="subscript"/>
        <sz val="10"/>
        <rFont val="Arial"/>
        <family val="2"/>
      </rPr>
      <t>e</t>
    </r>
    <r>
      <rPr>
        <sz val="10"/>
        <color theme="1"/>
        <rFont val="Arial"/>
        <family val="2"/>
      </rPr>
      <t>(T</t>
    </r>
    <r>
      <rPr>
        <vertAlign val="subscript"/>
        <sz val="10"/>
        <rFont val="Arial"/>
        <family val="2"/>
      </rPr>
      <t>1</t>
    </r>
    <r>
      <rPr>
        <sz val="10"/>
        <color theme="1"/>
        <rFont val="Arial"/>
        <family val="2"/>
      </rPr>
      <t>) =</t>
    </r>
  </si>
  <si>
    <r>
      <t>Riepilogo parametri</t>
    </r>
    <r>
      <rPr>
        <sz val="11"/>
        <rFont val="Calibri"/>
        <family val="2"/>
        <scheme val="minor"/>
      </rPr>
      <t xml:space="preserve"> - dal foglio Masse</t>
    </r>
  </si>
  <si>
    <t>Forze orizzontali</t>
  </si>
  <si>
    <t>W</t>
  </si>
  <si>
    <t>Wz</t>
  </si>
  <si>
    <t>Fi</t>
  </si>
  <si>
    <t>Vi</t>
  </si>
  <si>
    <t>Fh</t>
  </si>
  <si>
    <t>rapporto SLD/SLV</t>
  </si>
  <si>
    <t>Caratteristiche della sollecitazione - prima previsione</t>
  </si>
  <si>
    <t>duttilità</t>
  </si>
  <si>
    <t>Sisma in direzione x</t>
  </si>
  <si>
    <t>Risoluzione dello schema base, traslante</t>
  </si>
  <si>
    <t>hi</t>
  </si>
  <si>
    <t>n.pil</t>
  </si>
  <si>
    <t>1 testa</t>
  </si>
  <si>
    <t>1 piede</t>
  </si>
  <si>
    <t>Incremento per eccentricità (solo telai eccentrici)</t>
  </si>
  <si>
    <t>Sisma in direzione y</t>
  </si>
  <si>
    <t>Valori a filo pilastro/trave</t>
  </si>
  <si>
    <t>Travi e pilastri che sono ritenuti più sollecitati</t>
  </si>
  <si>
    <t>e quindi usati per il dimensionamento</t>
  </si>
  <si>
    <t>Travi emergenti</t>
  </si>
  <si>
    <t>(le travi a spessore sono verificate per soli carichi verticali)</t>
  </si>
  <si>
    <t>sisma</t>
  </si>
  <si>
    <t>M =</t>
  </si>
  <si>
    <t>kNm</t>
  </si>
  <si>
    <t>perché la trave è molto lontana dal baricentro</t>
  </si>
  <si>
    <t>car.vert.</t>
  </si>
  <si>
    <t>al piano terra è quasi scarica</t>
  </si>
  <si>
    <t>TOT</t>
  </si>
  <si>
    <t>trave</t>
  </si>
  <si>
    <t>impalcato</t>
  </si>
  <si>
    <t>direzione</t>
  </si>
  <si>
    <t>y</t>
  </si>
  <si>
    <t>porta sbalzo laterale</t>
  </si>
  <si>
    <t>necessaria 30x60</t>
  </si>
  <si>
    <t>x</t>
  </si>
  <si>
    <t>perché la trave è vicina al baricentro</t>
  </si>
  <si>
    <t>porta due campate di solaio</t>
  </si>
  <si>
    <t>basterebbe 30x50</t>
  </si>
  <si>
    <t>pilastro</t>
  </si>
  <si>
    <t>ordine</t>
  </si>
  <si>
    <t>1 - piede</t>
  </si>
  <si>
    <t>perché il pilastro è abbastanza lontano dal baricentro</t>
  </si>
  <si>
    <t>perché è tra due travi emergenti</t>
  </si>
  <si>
    <t>N =</t>
  </si>
  <si>
    <t>perché ha una sola trave emergente</t>
  </si>
  <si>
    <t>d'angolo</t>
  </si>
  <si>
    <t>L =</t>
  </si>
  <si>
    <t>Stima momento</t>
  </si>
  <si>
    <t xml:space="preserve"> (q l^2 / 10)</t>
  </si>
  <si>
    <t>Carico</t>
  </si>
  <si>
    <t>17-18</t>
  </si>
  <si>
    <t>8-5</t>
  </si>
  <si>
    <t>a spessore</t>
  </si>
  <si>
    <t>copertura</t>
  </si>
  <si>
    <t>Sforzo normale</t>
  </si>
  <si>
    <t>16 (interno, scala)</t>
  </si>
  <si>
    <t>arrotondato</t>
  </si>
  <si>
    <r>
      <t>per S</t>
    </r>
    <r>
      <rPr>
        <vertAlign val="subscript"/>
        <sz val="10"/>
        <color theme="0" tint="-0.499984740745262"/>
        <rFont val="Arial"/>
        <family val="2"/>
      </rPr>
      <t>S</t>
    </r>
  </si>
  <si>
    <r>
      <t>per C</t>
    </r>
    <r>
      <rPr>
        <vertAlign val="subscript"/>
        <sz val="10"/>
        <color theme="0" tint="-0.499984740745262"/>
        <rFont val="Arial"/>
        <family val="2"/>
      </rPr>
      <t>C</t>
    </r>
  </si>
  <si>
    <t>posizione</t>
  </si>
  <si>
    <t>luce della trave di estremità</t>
  </si>
  <si>
    <t>- pilastri di estremità</t>
  </si>
  <si>
    <t>- pilastri con una sola trave emergente</t>
  </si>
  <si>
    <t>in funzione della distanza del telaio dal centro</t>
  </si>
  <si>
    <t>moltipl.ecc.</t>
  </si>
  <si>
    <t xml:space="preserve">perché è abbastanza lontano dal baricentro </t>
  </si>
  <si>
    <t>ha una sola trave emergente</t>
  </si>
  <si>
    <t>riduz.tra.</t>
  </si>
  <si>
    <t>oppure 30x50 molto sollecitata</t>
  </si>
  <si>
    <t>Travi</t>
  </si>
  <si>
    <t>I tagli di piano sono presi dal foglio Forze</t>
  </si>
  <si>
    <t>Le altezze sono prese dal foglio Masse</t>
  </si>
  <si>
    <r>
      <t>S</t>
    </r>
    <r>
      <rPr>
        <vertAlign val="subscript"/>
        <sz val="9"/>
        <color theme="0" tint="-0.499984740745262"/>
        <rFont val="Arial"/>
        <family val="2"/>
      </rPr>
      <t>d</t>
    </r>
    <r>
      <rPr>
        <sz val="9"/>
        <color theme="0" tint="-0.499984740745262"/>
        <rFont val="Arial"/>
        <family val="2"/>
      </rPr>
      <t>(T)</t>
    </r>
  </si>
  <si>
    <t xml:space="preserve">si sceglie </t>
  </si>
  <si>
    <t>z [m]</t>
  </si>
  <si>
    <t>per limitare danno strutturale</t>
  </si>
  <si>
    <r>
      <t xml:space="preserve">da normativa, si può usare q </t>
    </r>
    <r>
      <rPr>
        <sz val="11"/>
        <rFont val="Symbol"/>
        <family val="1"/>
        <charset val="2"/>
      </rPr>
      <t>£</t>
    </r>
  </si>
  <si>
    <r>
      <t xml:space="preserve">allo SLD è opportuno usare q </t>
    </r>
    <r>
      <rPr>
        <sz val="11"/>
        <rFont val="Symbol"/>
        <family val="1"/>
        <charset val="2"/>
      </rPr>
      <t>£</t>
    </r>
  </si>
  <si>
    <r>
      <t xml:space="preserve">Ordinate spettrali </t>
    </r>
    <r>
      <rPr>
        <sz val="11"/>
        <rFont val="Calibri"/>
        <family val="2"/>
        <scheme val="minor"/>
      </rPr>
      <t>- dal foglio Spettri di risposta</t>
    </r>
  </si>
  <si>
    <t>Vi TOT</t>
  </si>
  <si>
    <r>
      <t xml:space="preserve">per un coefficiente che arriva fino a </t>
    </r>
    <r>
      <rPr>
        <b/>
        <sz val="11"/>
        <rFont val="Calibri"/>
        <family val="2"/>
        <scheme val="minor"/>
      </rPr>
      <t>1.20</t>
    </r>
  </si>
  <si>
    <t>MEd =</t>
  </si>
  <si>
    <t>NEd,min =</t>
  </si>
  <si>
    <t>NEd,max =</t>
  </si>
  <si>
    <r>
      <rPr>
        <sz val="1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Npil</t>
    </r>
  </si>
  <si>
    <t>riduz.</t>
  </si>
  <si>
    <t>pilastro con solo 1 trave emergente</t>
  </si>
  <si>
    <t>moltiplicare i valori della tabella riportata a fianco</t>
  </si>
  <si>
    <t>pilastro con 2 travi emergenti</t>
  </si>
  <si>
    <t>I valori nelle colonne circondate dal bordo blu</t>
  </si>
  <si>
    <t>sono utilizzati nel foglio Forze</t>
  </si>
  <si>
    <t>I valori nelle colonne circondate dal bordo verde</t>
  </si>
  <si>
    <t>sono utilizzati nel foglio Car.Soll.</t>
  </si>
  <si>
    <t>ordine/impalcato</t>
  </si>
  <si>
    <r>
      <rPr>
        <sz val="11"/>
        <rFont val="Symbol"/>
        <family val="1"/>
        <charset val="2"/>
      </rPr>
      <t>D</t>
    </r>
    <r>
      <rPr>
        <sz val="11"/>
        <rFont val="Calibri"/>
        <family val="2"/>
        <scheme val="minor"/>
      </rPr>
      <t>N =</t>
    </r>
  </si>
  <si>
    <t>perimetrale non d'angolo</t>
  </si>
  <si>
    <t xml:space="preserve">n.pilastri </t>
  </si>
  <si>
    <t>analisi statica</t>
  </si>
  <si>
    <t>6 schemi base</t>
  </si>
  <si>
    <t>Questi valori vanno confrontati con</t>
  </si>
  <si>
    <t>i risultati del telaio spaziale,</t>
  </si>
  <si>
    <t>l'inviluppo dei risultati del telaio spaziale,</t>
  </si>
  <si>
    <r>
      <t>M</t>
    </r>
    <r>
      <rPr>
        <sz val="8"/>
        <rFont val="Calibri"/>
        <family val="2"/>
        <scheme val="minor"/>
      </rPr>
      <t>pil ger.res.</t>
    </r>
  </si>
  <si>
    <r>
      <t>V</t>
    </r>
    <r>
      <rPr>
        <sz val="8"/>
        <rFont val="Calibri"/>
        <family val="2"/>
        <scheme val="minor"/>
      </rPr>
      <t>pil</t>
    </r>
  </si>
  <si>
    <r>
      <t>M</t>
    </r>
    <r>
      <rPr>
        <sz val="8"/>
        <rFont val="Calibri"/>
        <family val="2"/>
        <scheme val="minor"/>
      </rPr>
      <t>pil</t>
    </r>
  </si>
  <si>
    <r>
      <t>M</t>
    </r>
    <r>
      <rPr>
        <sz val="8"/>
        <rFont val="Calibri"/>
        <family val="2"/>
        <scheme val="minor"/>
      </rPr>
      <t>tra</t>
    </r>
  </si>
  <si>
    <r>
      <t>V</t>
    </r>
    <r>
      <rPr>
        <sz val="8"/>
        <rFont val="Calibri"/>
        <family val="2"/>
        <scheme val="minor"/>
      </rPr>
      <t>tra</t>
    </r>
  </si>
  <si>
    <r>
      <rPr>
        <sz val="1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N</t>
    </r>
    <r>
      <rPr>
        <sz val="8"/>
        <color theme="1"/>
        <rFont val="Calibri"/>
        <family val="2"/>
        <scheme val="minor"/>
      </rPr>
      <t>pil</t>
    </r>
  </si>
  <si>
    <r>
      <rPr>
        <sz val="1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N</t>
    </r>
    <r>
      <rPr>
        <sz val="8"/>
        <color theme="1"/>
        <rFont val="Calibri"/>
        <family val="2"/>
        <scheme val="minor"/>
      </rPr>
      <t>pil</t>
    </r>
    <r>
      <rPr>
        <sz val="11"/>
        <color theme="1"/>
        <rFont val="Calibri"/>
        <family val="2"/>
        <scheme val="minor"/>
      </rPr>
      <t xml:space="preserve"> è riferito solo a:</t>
    </r>
  </si>
  <si>
    <r>
      <t>L</t>
    </r>
    <r>
      <rPr>
        <sz val="8"/>
        <rFont val="Calibri"/>
        <family val="2"/>
        <scheme val="minor"/>
      </rPr>
      <t>tra</t>
    </r>
  </si>
  <si>
    <t>Rigidezze di piano</t>
  </si>
  <si>
    <t>E</t>
  </si>
  <si>
    <t>fck</t>
  </si>
  <si>
    <t>MPa</t>
  </si>
  <si>
    <t>n</t>
  </si>
  <si>
    <t>pilastri</t>
  </si>
  <si>
    <t>travi</t>
  </si>
  <si>
    <t>direzione x</t>
  </si>
  <si>
    <t>b [cm]</t>
  </si>
  <si>
    <t>h [cm]</t>
  </si>
  <si>
    <r>
      <rPr>
        <sz val="11"/>
        <color theme="1"/>
        <rFont val="Symbol"/>
        <family val="1"/>
        <charset val="2"/>
      </rPr>
      <t>S</t>
    </r>
    <r>
      <rPr>
        <sz val="11"/>
        <color theme="1"/>
        <rFont val="Calibri"/>
        <family val="2"/>
        <scheme val="minor"/>
      </rPr>
      <t xml:space="preserve"> I pil</t>
    </r>
  </si>
  <si>
    <t>[m4]</t>
  </si>
  <si>
    <r>
      <rPr>
        <sz val="11"/>
        <color theme="1"/>
        <rFont val="Symbol"/>
        <family val="1"/>
        <charset val="2"/>
      </rPr>
      <t>S</t>
    </r>
    <r>
      <rPr>
        <sz val="11"/>
        <color theme="1"/>
        <rFont val="Calibri"/>
        <family val="2"/>
        <scheme val="minor"/>
      </rPr>
      <t xml:space="preserve"> I tra </t>
    </r>
    <r>
      <rPr>
        <sz val="8"/>
        <color theme="1"/>
        <rFont val="Calibri"/>
        <family val="2"/>
        <scheme val="minor"/>
      </rPr>
      <t>sup</t>
    </r>
  </si>
  <si>
    <r>
      <rPr>
        <sz val="11"/>
        <color theme="1"/>
        <rFont val="Symbol"/>
        <family val="1"/>
        <charset val="2"/>
      </rPr>
      <t>S</t>
    </r>
    <r>
      <rPr>
        <sz val="11"/>
        <color theme="1"/>
        <rFont val="Calibri"/>
        <family val="2"/>
        <scheme val="minor"/>
      </rPr>
      <t xml:space="preserve"> I tra </t>
    </r>
    <r>
      <rPr>
        <sz val="8"/>
        <color theme="1"/>
        <rFont val="Calibri"/>
        <family val="2"/>
        <scheme val="minor"/>
      </rPr>
      <t>inf</t>
    </r>
  </si>
  <si>
    <t>infinito</t>
  </si>
  <si>
    <t>Ltra [m]</t>
  </si>
  <si>
    <t>k t inf</t>
  </si>
  <si>
    <t>[kN/mm]</t>
  </si>
  <si>
    <t>k</t>
  </si>
  <si>
    <t>direzione y</t>
  </si>
  <si>
    <t>Valutazione del periodo con la formula di Rayleigh</t>
  </si>
  <si>
    <t>ag</t>
  </si>
  <si>
    <t>kx</t>
  </si>
  <si>
    <t>ky</t>
  </si>
  <si>
    <t>[m]</t>
  </si>
  <si>
    <t>[kN]</t>
  </si>
  <si>
    <t>Direzione x</t>
  </si>
  <si>
    <t/>
  </si>
  <si>
    <t>dr</t>
  </si>
  <si>
    <t>u</t>
  </si>
  <si>
    <t>[kNm]</t>
  </si>
  <si>
    <t>[mm]</t>
  </si>
  <si>
    <t>m u2</t>
  </si>
  <si>
    <t>F u</t>
  </si>
  <si>
    <t>[kN mm s2]</t>
  </si>
  <si>
    <t>[kN mm]</t>
  </si>
  <si>
    <t>Direzione y</t>
  </si>
  <si>
    <t>Tx</t>
  </si>
  <si>
    <t>Ty</t>
  </si>
  <si>
    <t>Sd, SLV</t>
  </si>
  <si>
    <t>Se, SLD</t>
  </si>
  <si>
    <t>[t]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</si>
</sst>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0.0000"/>
  </numFmts>
  <fonts count="3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0"/>
      <color rgb="FFFF000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</font>
    <font>
      <sz val="11"/>
      <color theme="0" tint="-0.499984740745262"/>
      <name val="Arial"/>
      <family val="2"/>
    </font>
    <font>
      <sz val="9"/>
      <color theme="0" tint="-0.499984740745262"/>
      <name val="Arial"/>
      <family val="2"/>
    </font>
    <font>
      <vertAlign val="subscript"/>
      <sz val="10"/>
      <name val="Arial"/>
      <family val="2"/>
    </font>
    <font>
      <vertAlign val="subscript"/>
      <sz val="9"/>
      <color theme="0" tint="-0.499984740745262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vertAlign val="superscript"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0" tint="-0.499984740745262"/>
      <name val="Arial"/>
      <family val="2"/>
    </font>
    <font>
      <vertAlign val="subscript"/>
      <sz val="10"/>
      <color theme="0" tint="-0.499984740745262"/>
      <name val="Arial"/>
      <family val="2"/>
    </font>
    <font>
      <sz val="10"/>
      <color theme="0" tint="-0.499984740745262"/>
      <name val="Symbol"/>
      <family val="1"/>
      <charset val="2"/>
    </font>
    <font>
      <b/>
      <sz val="12"/>
      <color theme="1"/>
      <name val="Calibri"/>
      <family val="2"/>
      <scheme val="minor"/>
    </font>
    <font>
      <sz val="11"/>
      <name val="Symbol"/>
      <family val="1"/>
      <charset val="2"/>
    </font>
    <font>
      <b/>
      <sz val="1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8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rgb="FF006600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medium">
        <color rgb="FF0000FF"/>
      </right>
      <top/>
      <bottom/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 style="medium">
        <color rgb="FF006600"/>
      </left>
      <right style="medium">
        <color rgb="FF0000FF"/>
      </right>
      <top style="medium">
        <color rgb="FF006600"/>
      </top>
      <bottom/>
      <diagonal/>
    </border>
    <border>
      <left style="medium">
        <color rgb="FF006600"/>
      </left>
      <right style="medium">
        <color rgb="FF0000FF"/>
      </right>
      <top/>
      <bottom/>
      <diagonal/>
    </border>
    <border>
      <left style="medium">
        <color rgb="FF006600"/>
      </left>
      <right style="medium">
        <color rgb="FF0000FF"/>
      </right>
      <top/>
      <bottom style="medium">
        <color rgb="FF006600"/>
      </bottom>
      <diagonal/>
    </border>
    <border>
      <left style="medium">
        <color rgb="FF006600"/>
      </left>
      <right style="medium">
        <color rgb="FF006600"/>
      </right>
      <top style="medium">
        <color rgb="FF006600"/>
      </top>
      <bottom/>
      <diagonal/>
    </border>
    <border>
      <left style="medium">
        <color rgb="FF006600"/>
      </left>
      <right style="medium">
        <color rgb="FF006600"/>
      </right>
      <top/>
      <bottom/>
      <diagonal/>
    </border>
    <border>
      <left style="medium">
        <color rgb="FF006600"/>
      </left>
      <right style="medium">
        <color rgb="FF006600"/>
      </right>
      <top/>
      <bottom style="medium">
        <color rgb="FF0066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144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49" fontId="1" fillId="0" borderId="0" xfId="0" applyNumberFormat="1" applyFont="1"/>
    <xf numFmtId="164" fontId="3" fillId="2" borderId="0" xfId="0" applyNumberFormat="1" applyFont="1" applyFill="1" applyAlignment="1" applyProtection="1">
      <alignment horizontal="center"/>
      <protection locked="0"/>
    </xf>
    <xf numFmtId="0" fontId="7" fillId="0" borderId="0" xfId="1" applyFont="1"/>
    <xf numFmtId="0" fontId="8" fillId="0" borderId="0" xfId="1" applyFont="1"/>
    <xf numFmtId="0" fontId="8" fillId="0" borderId="0" xfId="1" applyFont="1" applyAlignment="1">
      <alignment horizontal="center"/>
    </xf>
    <xf numFmtId="164" fontId="8" fillId="0" borderId="0" xfId="1" applyNumberFormat="1" applyFont="1" applyAlignment="1">
      <alignment horizontal="center"/>
    </xf>
    <xf numFmtId="1" fontId="8" fillId="0" borderId="0" xfId="1" applyNumberFormat="1" applyFont="1" applyAlignment="1">
      <alignment horizontal="center"/>
    </xf>
    <xf numFmtId="164" fontId="8" fillId="0" borderId="1" xfId="1" applyNumberFormat="1" applyFont="1" applyBorder="1" applyAlignment="1">
      <alignment horizontal="center"/>
    </xf>
    <xf numFmtId="2" fontId="8" fillId="0" borderId="0" xfId="1" applyNumberFormat="1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2" fontId="0" fillId="0" borderId="0" xfId="0" applyNumberFormat="1" applyFont="1" applyAlignment="1">
      <alignment horizontal="center"/>
    </xf>
    <xf numFmtId="1" fontId="0" fillId="0" borderId="0" xfId="0" applyNumberFormat="1" applyFont="1" applyAlignment="1">
      <alignment horizont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5" fontId="11" fillId="0" borderId="0" xfId="0" applyNumberFormat="1" applyFont="1" applyBorder="1" applyAlignment="1">
      <alignment horizontal="center" vertical="center"/>
    </xf>
    <xf numFmtId="165" fontId="11" fillId="0" borderId="0" xfId="0" applyNumberFormat="1" applyFont="1" applyAlignment="1">
      <alignment horizontal="center" vertical="center"/>
    </xf>
    <xf numFmtId="165" fontId="9" fillId="0" borderId="0" xfId="0" applyNumberFormat="1" applyFont="1" applyAlignment="1">
      <alignment horizontal="center" vertical="center"/>
    </xf>
    <xf numFmtId="0" fontId="4" fillId="2" borderId="0" xfId="0" applyFont="1" applyFill="1" applyBorder="1" applyAlignment="1" applyProtection="1">
      <alignment horizontal="center" vertical="center"/>
      <protection locked="0"/>
    </xf>
    <xf numFmtId="165" fontId="4" fillId="2" borderId="0" xfId="0" applyNumberFormat="1" applyFont="1" applyFill="1" applyBorder="1" applyAlignment="1" applyProtection="1">
      <alignment horizontal="center" vertical="center"/>
      <protection locked="0"/>
    </xf>
    <xf numFmtId="9" fontId="4" fillId="2" borderId="0" xfId="0" applyNumberFormat="1" applyFont="1" applyFill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165" fontId="4" fillId="3" borderId="0" xfId="0" applyNumberFormat="1" applyFont="1" applyFill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right" vertical="center"/>
    </xf>
    <xf numFmtId="2" fontId="9" fillId="0" borderId="0" xfId="0" applyNumberFormat="1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6" fillId="0" borderId="0" xfId="0" applyFont="1" applyAlignment="1" applyProtection="1">
      <alignment horizontal="center" vertical="center"/>
      <protection locked="0"/>
    </xf>
    <xf numFmtId="0" fontId="11" fillId="0" borderId="0" xfId="0" applyNumberFormat="1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1" fontId="0" fillId="0" borderId="1" xfId="0" applyNumberFormat="1" applyFont="1" applyBorder="1" applyAlignment="1">
      <alignment horizontal="center"/>
    </xf>
    <xf numFmtId="0" fontId="7" fillId="0" borderId="0" xfId="0" applyFont="1"/>
    <xf numFmtId="0" fontId="8" fillId="0" borderId="0" xfId="0" applyFont="1"/>
    <xf numFmtId="0" fontId="8" fillId="2" borderId="0" xfId="0" applyFont="1" applyFill="1" applyAlignment="1" applyProtection="1">
      <alignment horizontal="center" vertical="center"/>
      <protection locked="0"/>
    </xf>
    <xf numFmtId="0" fontId="8" fillId="0" borderId="0" xfId="0" applyFont="1" applyAlignment="1">
      <alignment horizontal="center"/>
    </xf>
    <xf numFmtId="0" fontId="0" fillId="3" borderId="0" xfId="0" applyFont="1" applyFill="1" applyAlignment="1">
      <alignment horizontal="center"/>
    </xf>
    <xf numFmtId="0" fontId="8" fillId="3" borderId="0" xfId="1" applyFont="1" applyFill="1" applyAlignment="1">
      <alignment horizontal="center"/>
    </xf>
    <xf numFmtId="0" fontId="7" fillId="0" borderId="0" xfId="1" applyFont="1" applyFill="1" applyAlignment="1">
      <alignment horizontal="left"/>
    </xf>
    <xf numFmtId="0" fontId="17" fillId="0" borderId="0" xfId="1" applyFont="1"/>
    <xf numFmtId="164" fontId="0" fillId="0" borderId="0" xfId="0" applyNumberFormat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5" fontId="0" fillId="0" borderId="0" xfId="0" applyNumberFormat="1" applyFont="1" applyAlignment="1">
      <alignment horizontal="center"/>
    </xf>
    <xf numFmtId="2" fontId="8" fillId="2" borderId="0" xfId="0" applyNumberFormat="1" applyFont="1" applyFill="1" applyAlignment="1" applyProtection="1">
      <alignment horizontal="center" vertical="center"/>
      <protection locked="0"/>
    </xf>
    <xf numFmtId="0" fontId="0" fillId="0" borderId="0" xfId="0" applyAlignment="1">
      <alignment horizontal="right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165" fontId="18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2" fontId="9" fillId="3" borderId="0" xfId="0" applyNumberFormat="1" applyFont="1" applyFill="1" applyAlignment="1">
      <alignment horizontal="center" vertical="center"/>
    </xf>
    <xf numFmtId="0" fontId="9" fillId="0" borderId="0" xfId="0" applyFont="1" applyAlignment="1" applyProtection="1">
      <alignment horizontal="center" vertical="center"/>
      <protection locked="0"/>
    </xf>
    <xf numFmtId="0" fontId="21" fillId="0" borderId="0" xfId="0" applyFont="1"/>
    <xf numFmtId="2" fontId="0" fillId="3" borderId="0" xfId="0" applyNumberFormat="1" applyFont="1" applyFill="1" applyAlignment="1">
      <alignment horizontal="center"/>
    </xf>
    <xf numFmtId="0" fontId="8" fillId="0" borderId="0" xfId="0" applyFont="1" applyAlignment="1">
      <alignment horizontal="right"/>
    </xf>
    <xf numFmtId="0" fontId="17" fillId="0" borderId="0" xfId="0" applyFont="1"/>
    <xf numFmtId="1" fontId="0" fillId="0" borderId="1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23" fillId="0" borderId="0" xfId="1" applyFont="1"/>
    <xf numFmtId="0" fontId="17" fillId="0" borderId="0" xfId="1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horizontal="left"/>
    </xf>
    <xf numFmtId="0" fontId="8" fillId="0" borderId="0" xfId="1" quotePrefix="1" applyFont="1" applyAlignment="1">
      <alignment horizontal="left"/>
    </xf>
    <xf numFmtId="0" fontId="8" fillId="0" borderId="0" xfId="1" applyFont="1" applyAlignment="1">
      <alignment horizontal="center" vertical="center" wrapText="1"/>
    </xf>
    <xf numFmtId="0" fontId="8" fillId="0" borderId="0" xfId="1" applyFont="1" applyAlignment="1">
      <alignment horizontal="left" vertical="center"/>
    </xf>
    <xf numFmtId="164" fontId="8" fillId="0" borderId="0" xfId="1" applyNumberFormat="1" applyFont="1" applyAlignment="1">
      <alignment horizontal="left"/>
    </xf>
    <xf numFmtId="0" fontId="8" fillId="0" borderId="0" xfId="1" applyFont="1" applyAlignment="1">
      <alignment horizontal="right"/>
    </xf>
    <xf numFmtId="0" fontId="23" fillId="0" borderId="0" xfId="1" applyFont="1" applyAlignment="1">
      <alignment horizontal="left"/>
    </xf>
    <xf numFmtId="164" fontId="8" fillId="0" borderId="0" xfId="1" applyNumberFormat="1" applyFont="1" applyAlignment="1">
      <alignment horizontal="center" vertical="center"/>
    </xf>
    <xf numFmtId="0" fontId="8" fillId="0" borderId="0" xfId="1" applyFont="1" applyAlignment="1">
      <alignment horizontal="centerContinuous"/>
    </xf>
    <xf numFmtId="164" fontId="24" fillId="0" borderId="0" xfId="1" applyNumberFormat="1" applyFont="1" applyAlignment="1">
      <alignment horizontal="center"/>
    </xf>
    <xf numFmtId="164" fontId="8" fillId="0" borderId="2" xfId="1" applyNumberFormat="1" applyFont="1" applyBorder="1" applyAlignment="1">
      <alignment horizontal="center"/>
    </xf>
    <xf numFmtId="0" fontId="8" fillId="0" borderId="2" xfId="1" applyFont="1" applyBorder="1"/>
    <xf numFmtId="0" fontId="8" fillId="0" borderId="2" xfId="1" applyFont="1" applyBorder="1" applyAlignment="1">
      <alignment horizontal="center" vertical="center"/>
    </xf>
    <xf numFmtId="0" fontId="8" fillId="0" borderId="2" xfId="1" applyFont="1" applyBorder="1" applyAlignment="1">
      <alignment horizontal="centerContinuous"/>
    </xf>
    <xf numFmtId="0" fontId="8" fillId="0" borderId="2" xfId="1" applyFont="1" applyBorder="1" applyAlignment="1">
      <alignment horizontal="center"/>
    </xf>
    <xf numFmtId="0" fontId="8" fillId="2" borderId="2" xfId="0" applyFont="1" applyFill="1" applyBorder="1" applyAlignment="1" applyProtection="1">
      <alignment horizontal="center" vertical="center"/>
      <protection locked="0"/>
    </xf>
    <xf numFmtId="2" fontId="8" fillId="0" borderId="3" xfId="1" applyNumberFormat="1" applyFont="1" applyBorder="1" applyAlignment="1">
      <alignment horizontal="center"/>
    </xf>
    <xf numFmtId="2" fontId="8" fillId="0" borderId="4" xfId="1" applyNumberFormat="1" applyFont="1" applyBorder="1" applyAlignment="1">
      <alignment horizontal="center"/>
    </xf>
    <xf numFmtId="2" fontId="8" fillId="0" borderId="5" xfId="1" applyNumberFormat="1" applyFont="1" applyBorder="1" applyAlignment="1">
      <alignment horizontal="center"/>
    </xf>
    <xf numFmtId="0" fontId="8" fillId="2" borderId="3" xfId="1" applyFont="1" applyFill="1" applyBorder="1" applyAlignment="1" applyProtection="1">
      <alignment horizontal="center"/>
      <protection locked="0"/>
    </xf>
    <xf numFmtId="0" fontId="8" fillId="2" borderId="4" xfId="1" applyFont="1" applyFill="1" applyBorder="1" applyProtection="1">
      <protection locked="0"/>
    </xf>
    <xf numFmtId="0" fontId="8" fillId="2" borderId="4" xfId="1" applyFont="1" applyFill="1" applyBorder="1" applyAlignment="1" applyProtection="1">
      <alignment horizontal="center"/>
      <protection locked="0"/>
    </xf>
    <xf numFmtId="0" fontId="8" fillId="2" borderId="5" xfId="1" applyFont="1" applyFill="1" applyBorder="1" applyAlignment="1" applyProtection="1">
      <alignment horizontal="center"/>
      <protection locked="0"/>
    </xf>
    <xf numFmtId="1" fontId="8" fillId="0" borderId="0" xfId="1" applyNumberFormat="1" applyFont="1" applyBorder="1" applyAlignment="1">
      <alignment horizontal="center"/>
    </xf>
    <xf numFmtId="1" fontId="8" fillId="0" borderId="3" xfId="1" applyNumberFormat="1" applyFont="1" applyBorder="1" applyAlignment="1">
      <alignment horizontal="center"/>
    </xf>
    <xf numFmtId="0" fontId="8" fillId="0" borderId="4" xfId="1" applyFont="1" applyBorder="1"/>
    <xf numFmtId="1" fontId="8" fillId="0" borderId="4" xfId="1" applyNumberFormat="1" applyFont="1" applyBorder="1" applyAlignment="1">
      <alignment horizontal="center"/>
    </xf>
    <xf numFmtId="1" fontId="8" fillId="0" borderId="5" xfId="1" applyNumberFormat="1" applyFont="1" applyBorder="1" applyAlignment="1">
      <alignment horizontal="center"/>
    </xf>
    <xf numFmtId="0" fontId="26" fillId="0" borderId="0" xfId="1" applyFont="1"/>
    <xf numFmtId="2" fontId="8" fillId="2" borderId="6" xfId="1" applyNumberFormat="1" applyFont="1" applyFill="1" applyBorder="1" applyAlignment="1" applyProtection="1">
      <alignment horizontal="center"/>
      <protection locked="0"/>
    </xf>
    <xf numFmtId="0" fontId="8" fillId="2" borderId="7" xfId="1" applyFont="1" applyFill="1" applyBorder="1" applyProtection="1">
      <protection locked="0"/>
    </xf>
    <xf numFmtId="2" fontId="8" fillId="2" borderId="7" xfId="1" applyNumberFormat="1" applyFont="1" applyFill="1" applyBorder="1" applyAlignment="1" applyProtection="1">
      <alignment horizontal="center"/>
      <protection locked="0"/>
    </xf>
    <xf numFmtId="2" fontId="8" fillId="2" borderId="8" xfId="1" applyNumberFormat="1" applyFont="1" applyFill="1" applyBorder="1" applyAlignment="1" applyProtection="1">
      <alignment horizontal="center"/>
      <protection locked="0"/>
    </xf>
    <xf numFmtId="0" fontId="27" fillId="0" borderId="0" xfId="1" applyFont="1"/>
    <xf numFmtId="2" fontId="8" fillId="0" borderId="0" xfId="1" applyNumberFormat="1" applyFont="1" applyAlignment="1">
      <alignment horizontal="center" vertical="center"/>
    </xf>
    <xf numFmtId="0" fontId="0" fillId="2" borderId="0" xfId="0" applyFill="1" applyAlignment="1" applyProtection="1">
      <alignment horizontal="center"/>
      <protection locked="0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2" borderId="2" xfId="0" applyFill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</xf>
    <xf numFmtId="2" fontId="0" fillId="0" borderId="2" xfId="0" applyNumberFormat="1" applyBorder="1" applyAlignment="1" applyProtection="1">
      <alignment horizontal="center"/>
    </xf>
    <xf numFmtId="166" fontId="0" fillId="0" borderId="2" xfId="0" applyNumberFormat="1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0" xfId="0" applyBorder="1" applyAlignment="1">
      <alignment horizontal="center"/>
    </xf>
    <xf numFmtId="166" fontId="0" fillId="0" borderId="0" xfId="0" applyNumberFormat="1" applyAlignment="1">
      <alignment horizontal="center"/>
    </xf>
    <xf numFmtId="2" fontId="0" fillId="2" borderId="0" xfId="0" applyNumberFormat="1" applyFill="1" applyBorder="1" applyAlignment="1" applyProtection="1">
      <alignment horizontal="center"/>
      <protection locked="0"/>
    </xf>
    <xf numFmtId="0" fontId="0" fillId="0" borderId="0" xfId="0" applyFill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164" fontId="0" fillId="3" borderId="0" xfId="0" applyNumberFormat="1" applyFill="1" applyAlignment="1">
      <alignment horizontal="center"/>
    </xf>
    <xf numFmtId="164" fontId="0" fillId="2" borderId="0" xfId="0" applyNumberFormat="1" applyFont="1" applyFill="1" applyAlignment="1" applyProtection="1">
      <alignment horizontal="center"/>
      <protection locked="0"/>
    </xf>
    <xf numFmtId="2" fontId="0" fillId="2" borderId="0" xfId="0" applyNumberFormat="1" applyFont="1" applyFill="1" applyAlignment="1" applyProtection="1">
      <alignment horizontal="center"/>
      <protection locked="0"/>
    </xf>
    <xf numFmtId="165" fontId="0" fillId="2" borderId="0" xfId="0" applyNumberFormat="1" applyFont="1" applyFill="1" applyAlignment="1" applyProtection="1">
      <alignment horizontal="center"/>
      <protection locked="0"/>
    </xf>
    <xf numFmtId="0" fontId="0" fillId="2" borderId="0" xfId="0" applyNumberFormat="1" applyFont="1" applyFill="1" applyAlignment="1" applyProtection="1">
      <alignment horizontal="center"/>
      <protection locked="0"/>
    </xf>
    <xf numFmtId="164" fontId="0" fillId="0" borderId="0" xfId="0" applyNumberFormat="1" applyFont="1" applyAlignment="1">
      <alignment horizontal="center"/>
    </xf>
    <xf numFmtId="0" fontId="29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4" fontId="0" fillId="0" borderId="9" xfId="0" applyNumberFormat="1" applyFont="1" applyBorder="1" applyAlignment="1">
      <alignment horizontal="center"/>
    </xf>
    <xf numFmtId="164" fontId="0" fillId="0" borderId="10" xfId="0" applyNumberFormat="1" applyFont="1" applyBorder="1" applyAlignment="1">
      <alignment horizontal="center"/>
    </xf>
    <xf numFmtId="164" fontId="0" fillId="0" borderId="11" xfId="0" applyNumberFormat="1" applyFont="1" applyBorder="1" applyAlignment="1">
      <alignment horizontal="center"/>
    </xf>
    <xf numFmtId="2" fontId="0" fillId="3" borderId="0" xfId="0" applyNumberFormat="1" applyFill="1" applyAlignment="1">
      <alignment horizontal="center"/>
    </xf>
    <xf numFmtId="165" fontId="0" fillId="0" borderId="0" xfId="0" applyNumberFormat="1" applyAlignment="1">
      <alignment horizontal="centerContinuous"/>
    </xf>
    <xf numFmtId="0" fontId="0" fillId="0" borderId="0" xfId="0" applyAlignment="1">
      <alignment horizontal="centerContinuous"/>
    </xf>
    <xf numFmtId="2" fontId="0" fillId="3" borderId="2" xfId="0" applyNumberFormat="1" applyFill="1" applyBorder="1" applyAlignment="1">
      <alignment horizontal="center"/>
    </xf>
    <xf numFmtId="0" fontId="4" fillId="2" borderId="0" xfId="0" applyFont="1" applyFill="1" applyBorder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  <colors>
    <mruColors>
      <color rgb="FF006600"/>
      <color rgb="FFCCFFCC"/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'Spettri di risposta'!$AE$7</c:f>
          <c:strCache>
            <c:ptCount val="1"/>
            <c:pt idx="0">
              <c:v>Piazza Cairoli, Messina - spettri elastici</c:v>
            </c:pt>
          </c:strCache>
        </c:strRef>
      </c:tx>
      <c:layout>
        <c:manualLayout>
          <c:xMode val="edge"/>
          <c:yMode val="edge"/>
          <c:x val="0.18718738282714742"/>
          <c:y val="1.7777777777777781E-2"/>
        </c:manualLayout>
      </c:layout>
      <c:overlay val="0"/>
      <c:txPr>
        <a:bodyPr/>
        <a:lstStyle/>
        <a:p>
          <a:pPr>
            <a:defRPr sz="1100">
              <a:latin typeface="Arial" pitchFamily="34" charset="0"/>
              <a:cs typeface="Arial" pitchFamily="34" charset="0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5"/>
          <c:order val="0"/>
          <c:tx>
            <c:v/>
          </c:tx>
          <c:spPr>
            <a:ln>
              <a:noFill/>
            </a:ln>
          </c:spPr>
          <c:marker>
            <c:symbol val="circle"/>
            <c:size val="3"/>
            <c:spPr>
              <a:solidFill>
                <a:schemeClr val="tx1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'Spettri di risposta'!$I$23:$I$26</c:f>
              <c:numCache>
                <c:formatCode>General</c:formatCode>
                <c:ptCount val="4"/>
                <c:pt idx="0">
                  <c:v>0.61099999999999999</c:v>
                </c:pt>
                <c:pt idx="1">
                  <c:v>0.61099999999999999</c:v>
                </c:pt>
                <c:pt idx="2">
                  <c:v>0.61099999999999999</c:v>
                </c:pt>
                <c:pt idx="3">
                  <c:v>0.61099999999999999</c:v>
                </c:pt>
              </c:numCache>
            </c:numRef>
          </c:xVal>
          <c:yVal>
            <c:numRef>
              <c:f>'Spettri di risposta'!$J$23:$J$26</c:f>
              <c:numCache>
                <c:formatCode>0.000</c:formatCode>
                <c:ptCount val="4"/>
                <c:pt idx="0">
                  <c:v>0.15815286613930676</c:v>
                </c:pt>
                <c:pt idx="1">
                  <c:v>0.21458445911663462</c:v>
                </c:pt>
                <c:pt idx="2">
                  <c:v>0.69895013179366716</c:v>
                </c:pt>
                <c:pt idx="3">
                  <c:v>0.90058030635901176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C83-4C0D-A659-9B5EAEA2E309}"/>
            </c:ext>
          </c:extLst>
        </c:ser>
        <c:ser>
          <c:idx val="0"/>
          <c:order val="1"/>
          <c:tx>
            <c:v>SLC</c:v>
          </c:tx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'Spettri di risposta'!$X$5:$X$52</c:f>
              <c:numCache>
                <c:formatCode>0.000</c:formatCode>
                <c:ptCount val="48"/>
                <c:pt idx="0">
                  <c:v>0</c:v>
                </c:pt>
                <c:pt idx="1">
                  <c:v>0.18399720371942338</c:v>
                </c:pt>
                <c:pt idx="2">
                  <c:v>0.55199161115827011</c:v>
                </c:pt>
                <c:pt idx="3">
                  <c:v>0.6321252241196611</c:v>
                </c:pt>
                <c:pt idx="4">
                  <c:v>0.71225883708105209</c:v>
                </c:pt>
                <c:pt idx="5">
                  <c:v>0.79239245004244319</c:v>
                </c:pt>
                <c:pt idx="6">
                  <c:v>0.87252606300383417</c:v>
                </c:pt>
                <c:pt idx="7">
                  <c:v>0.95265967596522527</c:v>
                </c:pt>
                <c:pt idx="8">
                  <c:v>1.0327932889266163</c:v>
                </c:pt>
                <c:pt idx="9">
                  <c:v>1.1129269018880072</c:v>
                </c:pt>
                <c:pt idx="10">
                  <c:v>1.1930605148493982</c:v>
                </c:pt>
                <c:pt idx="11">
                  <c:v>1.2731941278107892</c:v>
                </c:pt>
                <c:pt idx="12">
                  <c:v>1.3533277407721802</c:v>
                </c:pt>
                <c:pt idx="13">
                  <c:v>1.4334613537335712</c:v>
                </c:pt>
                <c:pt idx="14">
                  <c:v>1.5135949666949622</c:v>
                </c:pt>
                <c:pt idx="15">
                  <c:v>1.5937285796563534</c:v>
                </c:pt>
                <c:pt idx="16">
                  <c:v>1.6738621926177444</c:v>
                </c:pt>
                <c:pt idx="17">
                  <c:v>1.7539958055791354</c:v>
                </c:pt>
                <c:pt idx="18">
                  <c:v>1.8341294185405264</c:v>
                </c:pt>
                <c:pt idx="19">
                  <c:v>1.9142630315019173</c:v>
                </c:pt>
                <c:pt idx="20">
                  <c:v>1.9943966444633086</c:v>
                </c:pt>
                <c:pt idx="21">
                  <c:v>2.0745302574246995</c:v>
                </c:pt>
                <c:pt idx="22">
                  <c:v>2.1546638703860905</c:v>
                </c:pt>
                <c:pt idx="23">
                  <c:v>2.2347974833474815</c:v>
                </c:pt>
                <c:pt idx="24">
                  <c:v>2.3149310963088725</c:v>
                </c:pt>
                <c:pt idx="25">
                  <c:v>2.3950647092702635</c:v>
                </c:pt>
                <c:pt idx="26">
                  <c:v>2.4751983222316545</c:v>
                </c:pt>
                <c:pt idx="27">
                  <c:v>2.5553319351930455</c:v>
                </c:pt>
                <c:pt idx="28">
                  <c:v>2.6354655481544365</c:v>
                </c:pt>
                <c:pt idx="29">
                  <c:v>2.7155991611158274</c:v>
                </c:pt>
                <c:pt idx="30">
                  <c:v>2.7957327740772184</c:v>
                </c:pt>
                <c:pt idx="31">
                  <c:v>2.8758663870386094</c:v>
                </c:pt>
                <c:pt idx="32">
                  <c:v>2.9560000000000004</c:v>
                </c:pt>
                <c:pt idx="33">
                  <c:v>2.9589333333333339</c:v>
                </c:pt>
                <c:pt idx="34">
                  <c:v>2.9618666666666669</c:v>
                </c:pt>
                <c:pt idx="35">
                  <c:v>2.9648000000000003</c:v>
                </c:pt>
                <c:pt idx="36">
                  <c:v>2.9677333333333338</c:v>
                </c:pt>
                <c:pt idx="37">
                  <c:v>2.9706666666666668</c:v>
                </c:pt>
                <c:pt idx="38">
                  <c:v>2.9736000000000002</c:v>
                </c:pt>
                <c:pt idx="39">
                  <c:v>2.9765333333333337</c:v>
                </c:pt>
                <c:pt idx="40">
                  <c:v>2.9794666666666667</c:v>
                </c:pt>
                <c:pt idx="41">
                  <c:v>2.9824000000000002</c:v>
                </c:pt>
                <c:pt idx="42">
                  <c:v>2.9853333333333336</c:v>
                </c:pt>
                <c:pt idx="43">
                  <c:v>2.9882666666666666</c:v>
                </c:pt>
                <c:pt idx="44">
                  <c:v>2.9912000000000001</c:v>
                </c:pt>
                <c:pt idx="45">
                  <c:v>2.9941333333333335</c:v>
                </c:pt>
                <c:pt idx="46">
                  <c:v>2.9970666666666665</c:v>
                </c:pt>
                <c:pt idx="47">
                  <c:v>3</c:v>
                </c:pt>
              </c:numCache>
            </c:numRef>
          </c:xVal>
          <c:yVal>
            <c:numRef>
              <c:f>'Spettri di risposta'!$Y$5:$Y$52</c:f>
              <c:numCache>
                <c:formatCode>0.000</c:formatCode>
                <c:ptCount val="48"/>
                <c:pt idx="0">
                  <c:v>0.40771089300000007</c:v>
                </c:pt>
                <c:pt idx="1">
                  <c:v>0.99685313338500015</c:v>
                </c:pt>
                <c:pt idx="2">
                  <c:v>0.99685313338500015</c:v>
                </c:pt>
                <c:pt idx="3">
                  <c:v>0.87048348363518735</c:v>
                </c:pt>
                <c:pt idx="4">
                  <c:v>0.7725485996641126</c:v>
                </c:pt>
                <c:pt idx="5">
                  <c:v>0.69442176935921418</c:v>
                </c:pt>
                <c:pt idx="6">
                  <c:v>0.63064542197284268</c:v>
                </c:pt>
                <c:pt idx="7">
                  <c:v>0.57759825577569845</c:v>
                </c:pt>
                <c:pt idx="8">
                  <c:v>0.5327828647659365</c:v>
                </c:pt>
                <c:pt idx="9">
                  <c:v>0.4944211216854274</c:v>
                </c:pt>
                <c:pt idx="10">
                  <c:v>0.46121262110062838</c:v>
                </c:pt>
                <c:pt idx="11">
                  <c:v>0.43218434264341038</c:v>
                </c:pt>
                <c:pt idx="12">
                  <c:v>0.40659372494011875</c:v>
                </c:pt>
                <c:pt idx="13">
                  <c:v>0.38386424981194761</c:v>
                </c:pt>
                <c:pt idx="14">
                  <c:v>0.36354148850459944</c:v>
                </c:pt>
                <c:pt idx="15">
                  <c:v>0.34526240804692376</c:v>
                </c:pt>
                <c:pt idx="16">
                  <c:v>0.32873349407863495</c:v>
                </c:pt>
                <c:pt idx="17">
                  <c:v>0.31371487060293896</c:v>
                </c:pt>
                <c:pt idx="18">
                  <c:v>0.30000858261311286</c:v>
                </c:pt>
                <c:pt idx="19">
                  <c:v>0.28744982174870204</c:v>
                </c:pt>
                <c:pt idx="20">
                  <c:v>0.27590026723767852</c:v>
                </c:pt>
                <c:pt idx="21">
                  <c:v>0.26524297016927412</c:v>
                </c:pt>
                <c:pt idx="22">
                  <c:v>0.25537837931387275</c:v>
                </c:pt>
                <c:pt idx="23">
                  <c:v>0.24622122196107682</c:v>
                </c:pt>
                <c:pt idx="24">
                  <c:v>0.23769803259489231</c:v>
                </c:pt>
                <c:pt idx="25">
                  <c:v>0.22974517767956656</c:v>
                </c:pt>
                <c:pt idx="26">
                  <c:v>0.22230726412631177</c:v>
                </c:pt>
                <c:pt idx="27">
                  <c:v>0.21533584721696306</c:v>
                </c:pt>
                <c:pt idx="28">
                  <c:v>0.20878837424783958</c:v>
                </c:pt>
                <c:pt idx="29">
                  <c:v>0.20262731520334504</c:v>
                </c:pt>
                <c:pt idx="30">
                  <c:v>0.19681944293369652</c:v>
                </c:pt>
                <c:pt idx="31">
                  <c:v>0.19133523367612865</c:v>
                </c:pt>
                <c:pt idx="32">
                  <c:v>0.18614836508300273</c:v>
                </c:pt>
                <c:pt idx="33">
                  <c:v>0.18577947231845296</c:v>
                </c:pt>
                <c:pt idx="34">
                  <c:v>0.18541167502812134</c:v>
                </c:pt>
                <c:pt idx="35">
                  <c:v>0.18504496887876312</c:v>
                </c:pt>
                <c:pt idx="36">
                  <c:v>0.18467934955853829</c:v>
                </c:pt>
                <c:pt idx="37">
                  <c:v>0.18431481277688466</c:v>
                </c:pt>
                <c:pt idx="38">
                  <c:v>0.18395135426439158</c:v>
                </c:pt>
                <c:pt idx="39">
                  <c:v>0.18358896977267558</c:v>
                </c:pt>
                <c:pt idx="40">
                  <c:v>0.18322765507425573</c:v>
                </c:pt>
                <c:pt idx="41">
                  <c:v>0.18286740596243051</c:v>
                </c:pt>
                <c:pt idx="42">
                  <c:v>0.18250821825115551</c:v>
                </c:pt>
                <c:pt idx="43">
                  <c:v>0.18215008777492162</c:v>
                </c:pt>
                <c:pt idx="44">
                  <c:v>0.18179301038863427</c:v>
                </c:pt>
                <c:pt idx="45">
                  <c:v>0.18143698196749364</c:v>
                </c:pt>
                <c:pt idx="46">
                  <c:v>0.18108199840687544</c:v>
                </c:pt>
                <c:pt idx="47">
                  <c:v>0.18072805562221256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C83-4C0D-A659-9B5EAEA2E309}"/>
            </c:ext>
          </c:extLst>
        </c:ser>
        <c:ser>
          <c:idx val="1"/>
          <c:order val="2"/>
          <c:tx>
            <c:v>SLV</c:v>
          </c:tx>
          <c:spPr>
            <a:ln w="19050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'Spettri di risposta'!$V$5:$V$52</c:f>
              <c:numCache>
                <c:formatCode>0.000</c:formatCode>
                <c:ptCount val="48"/>
                <c:pt idx="0">
                  <c:v>0</c:v>
                </c:pt>
                <c:pt idx="1">
                  <c:v>0.17651869980007165</c:v>
                </c:pt>
                <c:pt idx="2">
                  <c:v>0.52955609940021497</c:v>
                </c:pt>
                <c:pt idx="3">
                  <c:v>0.59857089608687453</c:v>
                </c:pt>
                <c:pt idx="4">
                  <c:v>0.66758569277353397</c:v>
                </c:pt>
                <c:pt idx="5">
                  <c:v>0.73660048946019341</c:v>
                </c:pt>
                <c:pt idx="6">
                  <c:v>0.80561528614685296</c:v>
                </c:pt>
                <c:pt idx="7">
                  <c:v>0.87463008283351251</c:v>
                </c:pt>
                <c:pt idx="8">
                  <c:v>0.94364487952017195</c:v>
                </c:pt>
                <c:pt idx="9">
                  <c:v>1.0126596762068316</c:v>
                </c:pt>
                <c:pt idx="10">
                  <c:v>1.0816744728934911</c:v>
                </c:pt>
                <c:pt idx="11">
                  <c:v>1.1506892695801505</c:v>
                </c:pt>
                <c:pt idx="12">
                  <c:v>1.2197040662668099</c:v>
                </c:pt>
                <c:pt idx="13">
                  <c:v>1.2887188629534694</c:v>
                </c:pt>
                <c:pt idx="14">
                  <c:v>1.3577336596401288</c:v>
                </c:pt>
                <c:pt idx="15">
                  <c:v>1.4267484563267885</c:v>
                </c:pt>
                <c:pt idx="16">
                  <c:v>1.4957632530134481</c:v>
                </c:pt>
                <c:pt idx="17">
                  <c:v>1.5647780497001076</c:v>
                </c:pt>
                <c:pt idx="18">
                  <c:v>1.633792846386767</c:v>
                </c:pt>
                <c:pt idx="19">
                  <c:v>1.7028076430734265</c:v>
                </c:pt>
                <c:pt idx="20">
                  <c:v>1.7718224397600859</c:v>
                </c:pt>
                <c:pt idx="21">
                  <c:v>1.8408372364467454</c:v>
                </c:pt>
                <c:pt idx="22">
                  <c:v>1.9098520331334048</c:v>
                </c:pt>
                <c:pt idx="23">
                  <c:v>1.9788668298200647</c:v>
                </c:pt>
                <c:pt idx="24">
                  <c:v>2.0478816265067241</c:v>
                </c:pt>
                <c:pt idx="25">
                  <c:v>2.1168964231933836</c:v>
                </c:pt>
                <c:pt idx="26">
                  <c:v>2.185911219880043</c:v>
                </c:pt>
                <c:pt idx="27">
                  <c:v>2.2549260165667024</c:v>
                </c:pt>
                <c:pt idx="28">
                  <c:v>2.3239408132533619</c:v>
                </c:pt>
                <c:pt idx="29">
                  <c:v>2.3929556099400213</c:v>
                </c:pt>
                <c:pt idx="30">
                  <c:v>2.4619704066266812</c:v>
                </c:pt>
                <c:pt idx="31">
                  <c:v>2.5309852033133406</c:v>
                </c:pt>
                <c:pt idx="32">
                  <c:v>2.6</c:v>
                </c:pt>
                <c:pt idx="33">
                  <c:v>2.6266666666666669</c:v>
                </c:pt>
                <c:pt idx="34">
                  <c:v>2.6533333333333333</c:v>
                </c:pt>
                <c:pt idx="35">
                  <c:v>2.68</c:v>
                </c:pt>
                <c:pt idx="36">
                  <c:v>2.7066666666666666</c:v>
                </c:pt>
                <c:pt idx="37">
                  <c:v>2.7333333333333334</c:v>
                </c:pt>
                <c:pt idx="38">
                  <c:v>2.7600000000000002</c:v>
                </c:pt>
                <c:pt idx="39">
                  <c:v>2.7866666666666666</c:v>
                </c:pt>
                <c:pt idx="40">
                  <c:v>2.8133333333333335</c:v>
                </c:pt>
                <c:pt idx="41">
                  <c:v>2.84</c:v>
                </c:pt>
                <c:pt idx="42">
                  <c:v>2.8666666666666667</c:v>
                </c:pt>
                <c:pt idx="43">
                  <c:v>2.8933333333333335</c:v>
                </c:pt>
                <c:pt idx="44">
                  <c:v>2.92</c:v>
                </c:pt>
                <c:pt idx="45">
                  <c:v>2.9466666666666668</c:v>
                </c:pt>
                <c:pt idx="46">
                  <c:v>2.9733333333333332</c:v>
                </c:pt>
                <c:pt idx="47">
                  <c:v>3</c:v>
                </c:pt>
              </c:numCache>
            </c:numRef>
          </c:xVal>
          <c:yVal>
            <c:numRef>
              <c:f>'Spettri di risposta'!$W$5:$W$52</c:f>
              <c:numCache>
                <c:formatCode>0.000</c:formatCode>
                <c:ptCount val="48"/>
                <c:pt idx="0">
                  <c:v>0.33462500000000001</c:v>
                </c:pt>
                <c:pt idx="1">
                  <c:v>0.80644625000000003</c:v>
                </c:pt>
                <c:pt idx="2">
                  <c:v>0.80644625000000003</c:v>
                </c:pt>
                <c:pt idx="3">
                  <c:v>0.71346357351786249</c:v>
                </c:pt>
                <c:pt idx="4">
                  <c:v>0.63970593610489834</c:v>
                </c:pt>
                <c:pt idx="5">
                  <c:v>0.5797695448707807</c:v>
                </c:pt>
                <c:pt idx="6">
                  <c:v>0.53010231790473195</c:v>
                </c:pt>
                <c:pt idx="7">
                  <c:v>0.48827331566552351</c:v>
                </c:pt>
                <c:pt idx="8">
                  <c:v>0.45256275935400925</c:v>
                </c:pt>
                <c:pt idx="9">
                  <c:v>0.42171969572797097</c:v>
                </c:pt>
                <c:pt idx="10">
                  <c:v>0.39481243315610876</c:v>
                </c:pt>
                <c:pt idx="11">
                  <c:v>0.37113279997974652</c:v>
                </c:pt>
                <c:pt idx="12">
                  <c:v>0.3501329071018377</c:v>
                </c:pt>
                <c:pt idx="13">
                  <c:v>0.33138222990482452</c:v>
                </c:pt>
                <c:pt idx="14">
                  <c:v>0.31453777955178908</c:v>
                </c:pt>
                <c:pt idx="15">
                  <c:v>0.29932293154562584</c:v>
                </c:pt>
                <c:pt idx="16">
                  <c:v>0.28551211541368909</c:v>
                </c:pt>
                <c:pt idx="17">
                  <c:v>0.2729195559765023</c:v>
                </c:pt>
                <c:pt idx="18">
                  <c:v>0.2613908681693623</c:v>
                </c:pt>
                <c:pt idx="19">
                  <c:v>0.250796695835312</c:v>
                </c:pt>
                <c:pt idx="20">
                  <c:v>0.24102783718201276</c:v>
                </c:pt>
                <c:pt idx="21">
                  <c:v>0.23199146674708482</c:v>
                </c:pt>
                <c:pt idx="22">
                  <c:v>0.223608176506363</c:v>
                </c:pt>
                <c:pt idx="23">
                  <c:v>0.21580963614654272</c:v>
                </c:pt>
                <c:pt idx="24">
                  <c:v>0.20853672643882593</c:v>
                </c:pt>
                <c:pt idx="25">
                  <c:v>0.20173803774570306</c:v>
                </c:pt>
                <c:pt idx="26">
                  <c:v>0.19536865296357575</c:v>
                </c:pt>
                <c:pt idx="27">
                  <c:v>0.18938915396264749</c:v>
                </c:pt>
                <c:pt idx="28">
                  <c:v>0.18376480506320519</c:v>
                </c:pt>
                <c:pt idx="29">
                  <c:v>0.17846487780717116</c:v>
                </c:pt>
                <c:pt idx="30">
                  <c:v>0.17346208929906415</c:v>
                </c:pt>
                <c:pt idx="31">
                  <c:v>0.16873213243872923</c:v>
                </c:pt>
                <c:pt idx="32">
                  <c:v>0.16425328097151176</c:v>
                </c:pt>
                <c:pt idx="33">
                  <c:v>0.16093511837310248</c:v>
                </c:pt>
                <c:pt idx="34">
                  <c:v>0.15771649728395079</c:v>
                </c:pt>
                <c:pt idx="35">
                  <c:v>0.15459347563034911</c:v>
                </c:pt>
                <c:pt idx="36">
                  <c:v>0.15156230456797631</c:v>
                </c:pt>
                <c:pt idx="37">
                  <c:v>0.14861941722645414</c:v>
                </c:pt>
                <c:pt idx="38">
                  <c:v>0.14576141821143396</c:v>
                </c:pt>
                <c:pt idx="39">
                  <c:v>0.14298507380650022</c:v>
                </c:pt>
                <c:pt idx="40">
                  <c:v>0.14028730282207799</c:v>
                </c:pt>
                <c:pt idx="41">
                  <c:v>0.13766516804297504</c:v>
                </c:pt>
                <c:pt idx="42">
                  <c:v>0.13511586823021601</c:v>
                </c:pt>
                <c:pt idx="43">
                  <c:v>0.1326367306364912</c:v>
                </c:pt>
                <c:pt idx="44">
                  <c:v>0.13022520399786777</c:v>
                </c:pt>
                <c:pt idx="45">
                  <c:v>0.12787885196743995</c:v>
                </c:pt>
                <c:pt idx="46">
                  <c:v>0.12559534695935443</c:v>
                </c:pt>
                <c:pt idx="47">
                  <c:v>0.12337246437415773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C83-4C0D-A659-9B5EAEA2E309}"/>
            </c:ext>
          </c:extLst>
        </c:ser>
        <c:ser>
          <c:idx val="2"/>
          <c:order val="3"/>
          <c:tx>
            <c:v>SLD</c:v>
          </c:tx>
          <c:spPr>
            <a:ln w="12700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'Spettri di risposta'!$T$5:$T$52</c:f>
              <c:numCache>
                <c:formatCode>0.000</c:formatCode>
                <c:ptCount val="48"/>
                <c:pt idx="0">
                  <c:v>0</c:v>
                </c:pt>
                <c:pt idx="1">
                  <c:v>0.15341737754593213</c:v>
                </c:pt>
                <c:pt idx="2">
                  <c:v>0.46025213263779635</c:v>
                </c:pt>
                <c:pt idx="3">
                  <c:v>0.50917706154986986</c:v>
                </c:pt>
                <c:pt idx="4">
                  <c:v>0.55810199046194331</c:v>
                </c:pt>
                <c:pt idx="5">
                  <c:v>0.60702691937401676</c:v>
                </c:pt>
                <c:pt idx="6">
                  <c:v>0.65595184828609021</c:v>
                </c:pt>
                <c:pt idx="7">
                  <c:v>0.70487677719816366</c:v>
                </c:pt>
                <c:pt idx="8">
                  <c:v>0.75380170611023711</c:v>
                </c:pt>
                <c:pt idx="9">
                  <c:v>0.80272663502231056</c:v>
                </c:pt>
                <c:pt idx="10">
                  <c:v>0.85165156393438401</c:v>
                </c:pt>
                <c:pt idx="11">
                  <c:v>0.90057649284645747</c:v>
                </c:pt>
                <c:pt idx="12">
                  <c:v>0.94950142175853092</c:v>
                </c:pt>
                <c:pt idx="13">
                  <c:v>0.99842635067060437</c:v>
                </c:pt>
                <c:pt idx="14">
                  <c:v>1.0473512795826778</c:v>
                </c:pt>
                <c:pt idx="15">
                  <c:v>1.0962762084947513</c:v>
                </c:pt>
                <c:pt idx="16">
                  <c:v>1.1452011374068247</c:v>
                </c:pt>
                <c:pt idx="17">
                  <c:v>1.1941260663188982</c:v>
                </c:pt>
                <c:pt idx="18">
                  <c:v>1.2430509952309716</c:v>
                </c:pt>
                <c:pt idx="19">
                  <c:v>1.2919759241430451</c:v>
                </c:pt>
                <c:pt idx="20">
                  <c:v>1.3409008530551187</c:v>
                </c:pt>
                <c:pt idx="21">
                  <c:v>1.389825781967192</c:v>
                </c:pt>
                <c:pt idx="22">
                  <c:v>1.4387507108792654</c:v>
                </c:pt>
                <c:pt idx="23">
                  <c:v>1.4876756397913391</c:v>
                </c:pt>
                <c:pt idx="24">
                  <c:v>1.5366005687034123</c:v>
                </c:pt>
                <c:pt idx="25">
                  <c:v>1.585525497615486</c:v>
                </c:pt>
                <c:pt idx="26">
                  <c:v>1.6344504265275595</c:v>
                </c:pt>
                <c:pt idx="27">
                  <c:v>1.6833753554396327</c:v>
                </c:pt>
                <c:pt idx="28">
                  <c:v>1.7323002843517064</c:v>
                </c:pt>
                <c:pt idx="29">
                  <c:v>1.7812252132637798</c:v>
                </c:pt>
                <c:pt idx="30">
                  <c:v>1.8301501421758533</c:v>
                </c:pt>
                <c:pt idx="31">
                  <c:v>1.8790750710879267</c:v>
                </c:pt>
                <c:pt idx="32">
                  <c:v>1.9280000000000002</c:v>
                </c:pt>
                <c:pt idx="33">
                  <c:v>1.9994666666666667</c:v>
                </c:pt>
                <c:pt idx="34">
                  <c:v>2.0709333333333335</c:v>
                </c:pt>
                <c:pt idx="35">
                  <c:v>2.1424000000000003</c:v>
                </c:pt>
                <c:pt idx="36">
                  <c:v>2.2138666666666666</c:v>
                </c:pt>
                <c:pt idx="37">
                  <c:v>2.2853333333333334</c:v>
                </c:pt>
                <c:pt idx="38">
                  <c:v>2.3568000000000002</c:v>
                </c:pt>
                <c:pt idx="39">
                  <c:v>2.4282666666666666</c:v>
                </c:pt>
                <c:pt idx="40">
                  <c:v>2.4997333333333334</c:v>
                </c:pt>
                <c:pt idx="41">
                  <c:v>2.5712000000000002</c:v>
                </c:pt>
                <c:pt idx="42">
                  <c:v>2.6426666666666669</c:v>
                </c:pt>
                <c:pt idx="43">
                  <c:v>2.7141333333333333</c:v>
                </c:pt>
                <c:pt idx="44">
                  <c:v>2.7856000000000001</c:v>
                </c:pt>
                <c:pt idx="45">
                  <c:v>2.8570666666666669</c:v>
                </c:pt>
                <c:pt idx="46">
                  <c:v>2.9285333333333332</c:v>
                </c:pt>
                <c:pt idx="47">
                  <c:v>3</c:v>
                </c:pt>
              </c:numCache>
            </c:numRef>
          </c:xVal>
          <c:yVal>
            <c:numRef>
              <c:f>'Spettri di risposta'!$U$5:$U$52</c:f>
              <c:numCache>
                <c:formatCode>0.000</c:formatCode>
                <c:ptCount val="48"/>
                <c:pt idx="0">
                  <c:v>0.123</c:v>
                </c:pt>
                <c:pt idx="1">
                  <c:v>0.28486799999999995</c:v>
                </c:pt>
                <c:pt idx="2">
                  <c:v>0.28486799999999995</c:v>
                </c:pt>
                <c:pt idx="3">
                  <c:v>0.25749609403294471</c:v>
                </c:pt>
                <c:pt idx="4">
                  <c:v>0.23492319819849156</c:v>
                </c:pt>
                <c:pt idx="5">
                  <c:v>0.21598894601819177</c:v>
                </c:pt>
                <c:pt idx="6">
                  <c:v>0.1998791601286567</c:v>
                </c:pt>
                <c:pt idx="7">
                  <c:v>0.18600570874447206</c:v>
                </c:pt>
                <c:pt idx="8">
                  <c:v>0.17393314907288079</c:v>
                </c:pt>
                <c:pt idx="9">
                  <c:v>0.16333219654112974</c:v>
                </c:pt>
                <c:pt idx="10">
                  <c:v>0.1539492323768753</c:v>
                </c:pt>
                <c:pt idx="11">
                  <c:v>0.14558575041844599</c:v>
                </c:pt>
                <c:pt idx="12">
                  <c:v>0.13808415818634426</c:v>
                </c:pt>
                <c:pt idx="13">
                  <c:v>0.1313177526136019</c:v>
                </c:pt>
                <c:pt idx="14">
                  <c:v>0.12518350535887598</c:v>
                </c:pt>
                <c:pt idx="15">
                  <c:v>0.11959677999423764</c:v>
                </c:pt>
                <c:pt idx="16">
                  <c:v>0.11448740333698032</c:v>
                </c:pt>
                <c:pt idx="17">
                  <c:v>0.10979670255791049</c:v>
                </c:pt>
                <c:pt idx="18">
                  <c:v>0.10547524198385921</c:v>
                </c:pt>
                <c:pt idx="19">
                  <c:v>0.10148107412081109</c:v>
                </c:pt>
                <c:pt idx="20">
                  <c:v>9.7778373562474222E-2</c:v>
                </c:pt>
                <c:pt idx="21">
                  <c:v>9.4336359435415004E-2</c:v>
                </c:pt>
                <c:pt idx="22">
                  <c:v>9.1128437698659887E-2</c:v>
                </c:pt>
                <c:pt idx="23">
                  <c:v>8.8131512685556482E-2</c:v>
                </c:pt>
                <c:pt idx="24">
                  <c:v>8.5325430167512983E-2</c:v>
                </c:pt>
                <c:pt idx="25">
                  <c:v>8.2692523530807444E-2</c:v>
                </c:pt>
                <c:pt idx="26">
                  <c:v>8.0217241460674563E-2</c:v>
                </c:pt>
                <c:pt idx="27">
                  <c:v>7.7885840550411645E-2</c:v>
                </c:pt>
                <c:pt idx="28">
                  <c:v>7.5686129999875049E-2</c:v>
                </c:pt>
                <c:pt idx="29">
                  <c:v>7.3607258388188809E-2</c:v>
                </c:pt>
                <c:pt idx="30">
                  <c:v>7.1639534647352288E-2</c:v>
                </c:pt>
                <c:pt idx="31">
                  <c:v>6.9774277003395321E-2</c:v>
                </c:pt>
                <c:pt idx="32">
                  <c:v>6.800368491714924E-2</c:v>
                </c:pt>
                <c:pt idx="33">
                  <c:v>6.322927015988207E-2</c:v>
                </c:pt>
                <c:pt idx="34">
                  <c:v>5.8940561469759234E-2</c:v>
                </c:pt>
                <c:pt idx="35">
                  <c:v>5.5073843516710227E-2</c:v>
                </c:pt>
                <c:pt idx="36">
                  <c:v>5.1575516154264263E-2</c:v>
                </c:pt>
                <c:pt idx="37">
                  <c:v>4.8400226854494334E-2</c:v>
                </c:pt>
                <c:pt idx="38">
                  <c:v>4.5509393381304129E-2</c:v>
                </c:pt>
                <c:pt idx="39">
                  <c:v>4.2870026218110008E-2</c:v>
                </c:pt>
                <c:pt idx="40">
                  <c:v>4.0453783202553356E-2</c:v>
                </c:pt>
                <c:pt idx="41">
                  <c:v>3.8236205474657441E-2</c:v>
                </c:pt>
                <c:pt idx="42">
                  <c:v>3.619609605832564E-2</c:v>
                </c:pt>
                <c:pt idx="43">
                  <c:v>3.4315011437652192E-2</c:v>
                </c:pt>
                <c:pt idx="44">
                  <c:v>3.2576843242336194E-2</c:v>
                </c:pt>
                <c:pt idx="45">
                  <c:v>3.0967472242094153E-2</c:v>
                </c:pt>
                <c:pt idx="46">
                  <c:v>2.94744807102078E-2</c:v>
                </c:pt>
                <c:pt idx="47">
                  <c:v>2.8086912168340947E-2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C83-4C0D-A659-9B5EAEA2E309}"/>
            </c:ext>
          </c:extLst>
        </c:ser>
        <c:ser>
          <c:idx val="3"/>
          <c:order val="4"/>
          <c:tx>
            <c:v>SLO</c:v>
          </c:tx>
          <c:spPr>
            <a:ln w="12700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none"/>
          </c:marker>
          <c:xVal>
            <c:numRef>
              <c:f>'Spettri di risposta'!$R$5:$R$52</c:f>
              <c:numCache>
                <c:formatCode>0.000</c:formatCode>
                <c:ptCount val="48"/>
                <c:pt idx="0">
                  <c:v>0</c:v>
                </c:pt>
                <c:pt idx="1">
                  <c:v>0.14916396716852898</c:v>
                </c:pt>
                <c:pt idx="2">
                  <c:v>0.44749190150558693</c:v>
                </c:pt>
                <c:pt idx="3">
                  <c:v>0.49404217145540069</c:v>
                </c:pt>
                <c:pt idx="4">
                  <c:v>0.54059244140521445</c:v>
                </c:pt>
                <c:pt idx="5">
                  <c:v>0.58714271135502827</c:v>
                </c:pt>
                <c:pt idx="6">
                  <c:v>0.63369298130484197</c:v>
                </c:pt>
                <c:pt idx="7">
                  <c:v>0.68024325125465579</c:v>
                </c:pt>
                <c:pt idx="8">
                  <c:v>0.72679352120446961</c:v>
                </c:pt>
                <c:pt idx="9">
                  <c:v>0.77334379115428331</c:v>
                </c:pt>
                <c:pt idx="10">
                  <c:v>0.81989406110409713</c:v>
                </c:pt>
                <c:pt idx="11">
                  <c:v>0.86644433105391094</c:v>
                </c:pt>
                <c:pt idx="12">
                  <c:v>0.91299460100372465</c:v>
                </c:pt>
                <c:pt idx="13">
                  <c:v>0.95954487095353846</c:v>
                </c:pt>
                <c:pt idx="14">
                  <c:v>1.0060951409033523</c:v>
                </c:pt>
                <c:pt idx="15">
                  <c:v>1.052645410853166</c:v>
                </c:pt>
                <c:pt idx="16">
                  <c:v>1.0991956808029797</c:v>
                </c:pt>
                <c:pt idx="17">
                  <c:v>1.1457459507527936</c:v>
                </c:pt>
                <c:pt idx="18">
                  <c:v>1.1922962207026073</c:v>
                </c:pt>
                <c:pt idx="19">
                  <c:v>1.238846490652421</c:v>
                </c:pt>
                <c:pt idx="20">
                  <c:v>1.285396760602235</c:v>
                </c:pt>
                <c:pt idx="21">
                  <c:v>1.3319470305520484</c:v>
                </c:pt>
                <c:pt idx="22">
                  <c:v>1.3784973005018624</c:v>
                </c:pt>
                <c:pt idx="23">
                  <c:v>1.4250475704516761</c:v>
                </c:pt>
                <c:pt idx="24">
                  <c:v>1.47159784040149</c:v>
                </c:pt>
                <c:pt idx="25">
                  <c:v>1.5181481103513037</c:v>
                </c:pt>
                <c:pt idx="26">
                  <c:v>1.5646983803011174</c:v>
                </c:pt>
                <c:pt idx="27">
                  <c:v>1.6112486502509313</c:v>
                </c:pt>
                <c:pt idx="28">
                  <c:v>1.657798920200745</c:v>
                </c:pt>
                <c:pt idx="29">
                  <c:v>1.7043491901505587</c:v>
                </c:pt>
                <c:pt idx="30">
                  <c:v>1.7508994601003725</c:v>
                </c:pt>
                <c:pt idx="31">
                  <c:v>1.7974497300501864</c:v>
                </c:pt>
                <c:pt idx="32">
                  <c:v>1.8440000000000001</c:v>
                </c:pt>
                <c:pt idx="33">
                  <c:v>1.9210666666666667</c:v>
                </c:pt>
                <c:pt idx="34">
                  <c:v>1.9981333333333333</c:v>
                </c:pt>
                <c:pt idx="35">
                  <c:v>2.0752000000000002</c:v>
                </c:pt>
                <c:pt idx="36">
                  <c:v>2.1522666666666668</c:v>
                </c:pt>
                <c:pt idx="37">
                  <c:v>2.2293333333333334</c:v>
                </c:pt>
                <c:pt idx="38">
                  <c:v>2.3064</c:v>
                </c:pt>
                <c:pt idx="39">
                  <c:v>2.3834666666666666</c:v>
                </c:pt>
                <c:pt idx="40">
                  <c:v>2.4605333333333332</c:v>
                </c:pt>
                <c:pt idx="41">
                  <c:v>2.5376000000000003</c:v>
                </c:pt>
                <c:pt idx="42">
                  <c:v>2.6146666666666665</c:v>
                </c:pt>
                <c:pt idx="43">
                  <c:v>2.6917333333333335</c:v>
                </c:pt>
                <c:pt idx="44">
                  <c:v>2.7688000000000001</c:v>
                </c:pt>
                <c:pt idx="45">
                  <c:v>2.8458666666666668</c:v>
                </c:pt>
                <c:pt idx="46">
                  <c:v>2.9229333333333329</c:v>
                </c:pt>
                <c:pt idx="47">
                  <c:v>3</c:v>
                </c:pt>
              </c:numCache>
            </c:numRef>
          </c:xVal>
          <c:yVal>
            <c:numRef>
              <c:f>'Spettri di risposta'!$S$5:$S$52</c:f>
              <c:numCache>
                <c:formatCode>0.000</c:formatCode>
                <c:ptCount val="48"/>
                <c:pt idx="0">
                  <c:v>9.1499999999999998E-2</c:v>
                </c:pt>
                <c:pt idx="1">
                  <c:v>0.21593999999999999</c:v>
                </c:pt>
                <c:pt idx="2">
                  <c:v>0.21593999999999999</c:v>
                </c:pt>
                <c:pt idx="3">
                  <c:v>0.19559342662277115</c:v>
                </c:pt>
                <c:pt idx="4">
                  <c:v>0.17875092918416144</c:v>
                </c:pt>
                <c:pt idx="5">
                  <c:v>0.16457906969177416</c:v>
                </c:pt>
                <c:pt idx="6">
                  <c:v>0.15248930327765661</c:v>
                </c:pt>
                <c:pt idx="7">
                  <c:v>0.14205418581204199</c:v>
                </c:pt>
                <c:pt idx="8">
                  <c:v>0.13295578233963234</c:v>
                </c:pt>
                <c:pt idx="9">
                  <c:v>0.12495270837680821</c:v>
                </c:pt>
                <c:pt idx="10">
                  <c:v>0.11785839878019036</c:v>
                </c:pt>
                <c:pt idx="11">
                  <c:v>0.11152638172792655</c:v>
                </c:pt>
                <c:pt idx="12">
                  <c:v>0.10584005765738611</c:v>
                </c:pt>
                <c:pt idx="13">
                  <c:v>0.10070545332089569</c:v>
                </c:pt>
                <c:pt idx="14">
                  <c:v>9.6045987384804452E-2</c:v>
                </c:pt>
                <c:pt idx="15">
                  <c:v>9.1798624888125402E-2</c:v>
                </c:pt>
                <c:pt idx="16">
                  <c:v>8.7911008839232044E-2</c:v>
                </c:pt>
                <c:pt idx="17">
                  <c:v>8.433929105106272E-2</c:v>
                </c:pt>
                <c:pt idx="18">
                  <c:v>8.104647111451263E-2</c:v>
                </c:pt>
                <c:pt idx="19">
                  <c:v>7.8001109855206405E-2</c:v>
                </c:pt>
                <c:pt idx="20">
                  <c:v>7.5176322341004367E-2</c:v>
                </c:pt>
                <c:pt idx="21">
                  <c:v>7.2548982050033836E-2</c:v>
                </c:pt>
                <c:pt idx="22">
                  <c:v>7.0099086284707512E-2</c:v>
                </c:pt>
                <c:pt idx="23">
                  <c:v>6.7809245961163681E-2</c:v>
                </c:pt>
                <c:pt idx="24">
                  <c:v>6.5664272234018023E-2</c:v>
                </c:pt>
                <c:pt idx="25">
                  <c:v>6.3650839171914303E-2</c:v>
                </c:pt>
                <c:pt idx="26">
                  <c:v>6.1757206646127071E-2</c:v>
                </c:pt>
                <c:pt idx="27">
                  <c:v>5.9972991254991795E-2</c:v>
                </c:pt>
                <c:pt idx="28">
                  <c:v>5.8288975842386972E-2</c:v>
                </c:pt>
                <c:pt idx="29">
                  <c:v>5.6696950231531026E-2</c:v>
                </c:pt>
                <c:pt idx="30">
                  <c:v>5.5189577364754529E-2</c:v>
                </c:pt>
                <c:pt idx="31">
                  <c:v>5.3760280243508339E-2</c:v>
                </c:pt>
                <c:pt idx="32">
                  <c:v>5.2403145993013246E-2</c:v>
                </c:pt>
                <c:pt idx="33">
                  <c:v>4.8283008272591237E-2</c:v>
                </c:pt>
                <c:pt idx="34">
                  <c:v>4.4630347061514961E-2</c:v>
                </c:pt>
                <c:pt idx="35">
                  <c:v>4.1377026389041026E-2</c:v>
                </c:pt>
                <c:pt idx="36">
                  <c:v>3.8466886377449251E-2</c:v>
                </c:pt>
                <c:pt idx="37">
                  <c:v>3.5853303247632883E-2</c:v>
                </c:pt>
                <c:pt idx="38">
                  <c:v>3.3497310202478613E-2</c:v>
                </c:pt>
                <c:pt idx="39">
                  <c:v>3.1366136538316935E-2</c:v>
                </c:pt>
                <c:pt idx="40">
                  <c:v>2.9432061889601749E-2</c:v>
                </c:pt>
                <c:pt idx="41">
                  <c:v>2.7671510245258518E-2</c:v>
                </c:pt>
                <c:pt idx="42">
                  <c:v>2.6064328060158962E-2</c:v>
                </c:pt>
                <c:pt idx="43">
                  <c:v>2.4593204918503173E-2</c:v>
                </c:pt>
                <c:pt idx="44">
                  <c:v>2.324320546247147E-2</c:v>
                </c:pt>
                <c:pt idx="45">
                  <c:v>2.2001388817770445E-2</c:v>
                </c:pt>
                <c:pt idx="46">
                  <c:v>2.0856497310876746E-2</c:v>
                </c:pt>
                <c:pt idx="47">
                  <c:v>1.9798700425922081E-2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C83-4C0D-A659-9B5EAEA2E309}"/>
            </c:ext>
          </c:extLst>
        </c:ser>
        <c:ser>
          <c:idx val="4"/>
          <c:order val="5"/>
          <c:tx>
            <c:v/>
          </c:tx>
          <c:spPr>
            <a:ln>
              <a:solidFill>
                <a:schemeClr val="bg1"/>
              </a:solidFill>
            </a:ln>
          </c:spPr>
          <c:marker>
            <c:symbol val="none"/>
          </c:marker>
          <c:xVal>
            <c:numRef>
              <c:f>'Spettri di risposta'!$N$6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'Spettri di risposta'!$O$6</c:f>
              <c:numCache>
                <c:formatCode>0.000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C83-4C0D-A659-9B5EAEA2E3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624832"/>
        <c:axId val="77626368"/>
      </c:scatterChart>
      <c:valAx>
        <c:axId val="77624832"/>
        <c:scaling>
          <c:orientation val="minMax"/>
          <c:max val="3"/>
          <c:min val="0"/>
        </c:scaling>
        <c:delete val="0"/>
        <c:axPos val="b"/>
        <c:majorGridlines/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77626368"/>
        <c:crosses val="autoZero"/>
        <c:crossBetween val="midCat"/>
      </c:valAx>
      <c:valAx>
        <c:axId val="77626368"/>
        <c:scaling>
          <c:orientation val="minMax"/>
        </c:scaling>
        <c:delete val="0"/>
        <c:axPos val="l"/>
        <c:majorGridlines/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776248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3436117360330133"/>
          <c:y val="0.16817637795275567"/>
          <c:w val="0.17116071428571417"/>
          <c:h val="0.45501942257217826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latin typeface="Arial" pitchFamily="34" charset="0"/>
                <a:cs typeface="Arial" pitchFamily="34" charset="0"/>
              </a:defRPr>
            </a:pPr>
            <a:r>
              <a:rPr lang="en-US"/>
              <a:t>Spettri elastici e spettro di progetto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5"/>
          <c:order val="0"/>
          <c:tx>
            <c:v/>
          </c:tx>
          <c:spPr>
            <a:ln>
              <a:noFill/>
            </a:ln>
          </c:spPr>
          <c:marker>
            <c:symbol val="circle"/>
            <c:size val="3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'Spettri di risposta'!$L$23:$L$24</c:f>
              <c:numCache>
                <c:formatCode>General</c:formatCode>
                <c:ptCount val="2"/>
                <c:pt idx="0">
                  <c:v>0.61099999999999999</c:v>
                </c:pt>
                <c:pt idx="1">
                  <c:v>0.61099999999999999</c:v>
                </c:pt>
              </c:numCache>
            </c:numRef>
          </c:xVal>
          <c:yVal>
            <c:numRef>
              <c:f>'Spettri di risposta'!$M$23:$M$24</c:f>
              <c:numCache>
                <c:formatCode>0.000</c:formatCode>
                <c:ptCount val="2"/>
                <c:pt idx="0">
                  <c:v>0.69895013179366716</c:v>
                </c:pt>
                <c:pt idx="1">
                  <c:v>0.11947865500746449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08-429E-8C39-AF01062C02D2}"/>
            </c:ext>
          </c:extLst>
        </c:ser>
        <c:ser>
          <c:idx val="1"/>
          <c:order val="1"/>
          <c:tx>
            <c:v>Se,SLV</c:v>
          </c:tx>
          <c:spPr>
            <a:ln w="9525">
              <a:solidFill>
                <a:prstClr val="black"/>
              </a:solidFill>
              <a:prstDash val="dash"/>
            </a:ln>
          </c:spPr>
          <c:marker>
            <c:symbol val="none"/>
          </c:marker>
          <c:xVal>
            <c:numRef>
              <c:f>'Spettri di risposta'!$V$5:$V$52</c:f>
              <c:numCache>
                <c:formatCode>0.000</c:formatCode>
                <c:ptCount val="48"/>
                <c:pt idx="0">
                  <c:v>0</c:v>
                </c:pt>
                <c:pt idx="1">
                  <c:v>0.17651869980007165</c:v>
                </c:pt>
                <c:pt idx="2">
                  <c:v>0.52955609940021497</c:v>
                </c:pt>
                <c:pt idx="3">
                  <c:v>0.59857089608687453</c:v>
                </c:pt>
                <c:pt idx="4">
                  <c:v>0.66758569277353397</c:v>
                </c:pt>
                <c:pt idx="5">
                  <c:v>0.73660048946019341</c:v>
                </c:pt>
                <c:pt idx="6">
                  <c:v>0.80561528614685296</c:v>
                </c:pt>
                <c:pt idx="7">
                  <c:v>0.87463008283351251</c:v>
                </c:pt>
                <c:pt idx="8">
                  <c:v>0.94364487952017195</c:v>
                </c:pt>
                <c:pt idx="9">
                  <c:v>1.0126596762068316</c:v>
                </c:pt>
                <c:pt idx="10">
                  <c:v>1.0816744728934911</c:v>
                </c:pt>
                <c:pt idx="11">
                  <c:v>1.1506892695801505</c:v>
                </c:pt>
                <c:pt idx="12">
                  <c:v>1.2197040662668099</c:v>
                </c:pt>
                <c:pt idx="13">
                  <c:v>1.2887188629534694</c:v>
                </c:pt>
                <c:pt idx="14">
                  <c:v>1.3577336596401288</c:v>
                </c:pt>
                <c:pt idx="15">
                  <c:v>1.4267484563267885</c:v>
                </c:pt>
                <c:pt idx="16">
                  <c:v>1.4957632530134481</c:v>
                </c:pt>
                <c:pt idx="17">
                  <c:v>1.5647780497001076</c:v>
                </c:pt>
                <c:pt idx="18">
                  <c:v>1.633792846386767</c:v>
                </c:pt>
                <c:pt idx="19">
                  <c:v>1.7028076430734265</c:v>
                </c:pt>
                <c:pt idx="20">
                  <c:v>1.7718224397600859</c:v>
                </c:pt>
                <c:pt idx="21">
                  <c:v>1.8408372364467454</c:v>
                </c:pt>
                <c:pt idx="22">
                  <c:v>1.9098520331334048</c:v>
                </c:pt>
                <c:pt idx="23">
                  <c:v>1.9788668298200647</c:v>
                </c:pt>
                <c:pt idx="24">
                  <c:v>2.0478816265067241</c:v>
                </c:pt>
                <c:pt idx="25">
                  <c:v>2.1168964231933836</c:v>
                </c:pt>
                <c:pt idx="26">
                  <c:v>2.185911219880043</c:v>
                </c:pt>
                <c:pt idx="27">
                  <c:v>2.2549260165667024</c:v>
                </c:pt>
                <c:pt idx="28">
                  <c:v>2.3239408132533619</c:v>
                </c:pt>
                <c:pt idx="29">
                  <c:v>2.3929556099400213</c:v>
                </c:pt>
                <c:pt idx="30">
                  <c:v>2.4619704066266812</c:v>
                </c:pt>
                <c:pt idx="31">
                  <c:v>2.5309852033133406</c:v>
                </c:pt>
                <c:pt idx="32">
                  <c:v>2.6</c:v>
                </c:pt>
                <c:pt idx="33">
                  <c:v>2.6266666666666669</c:v>
                </c:pt>
                <c:pt idx="34">
                  <c:v>2.6533333333333333</c:v>
                </c:pt>
                <c:pt idx="35">
                  <c:v>2.68</c:v>
                </c:pt>
                <c:pt idx="36">
                  <c:v>2.7066666666666666</c:v>
                </c:pt>
                <c:pt idx="37">
                  <c:v>2.7333333333333334</c:v>
                </c:pt>
                <c:pt idx="38">
                  <c:v>2.7600000000000002</c:v>
                </c:pt>
                <c:pt idx="39">
                  <c:v>2.7866666666666666</c:v>
                </c:pt>
                <c:pt idx="40">
                  <c:v>2.8133333333333335</c:v>
                </c:pt>
                <c:pt idx="41">
                  <c:v>2.84</c:v>
                </c:pt>
                <c:pt idx="42">
                  <c:v>2.8666666666666667</c:v>
                </c:pt>
                <c:pt idx="43">
                  <c:v>2.8933333333333335</c:v>
                </c:pt>
                <c:pt idx="44">
                  <c:v>2.92</c:v>
                </c:pt>
                <c:pt idx="45">
                  <c:v>2.9466666666666668</c:v>
                </c:pt>
                <c:pt idx="46">
                  <c:v>2.9733333333333332</c:v>
                </c:pt>
                <c:pt idx="47">
                  <c:v>3</c:v>
                </c:pt>
              </c:numCache>
            </c:numRef>
          </c:xVal>
          <c:yVal>
            <c:numRef>
              <c:f>'Spettri di risposta'!$W$5:$W$52</c:f>
              <c:numCache>
                <c:formatCode>0.000</c:formatCode>
                <c:ptCount val="48"/>
                <c:pt idx="0">
                  <c:v>0.33462500000000001</c:v>
                </c:pt>
                <c:pt idx="1">
                  <c:v>0.80644625000000003</c:v>
                </c:pt>
                <c:pt idx="2">
                  <c:v>0.80644625000000003</c:v>
                </c:pt>
                <c:pt idx="3">
                  <c:v>0.71346357351786249</c:v>
                </c:pt>
                <c:pt idx="4">
                  <c:v>0.63970593610489834</c:v>
                </c:pt>
                <c:pt idx="5">
                  <c:v>0.5797695448707807</c:v>
                </c:pt>
                <c:pt idx="6">
                  <c:v>0.53010231790473195</c:v>
                </c:pt>
                <c:pt idx="7">
                  <c:v>0.48827331566552351</c:v>
                </c:pt>
                <c:pt idx="8">
                  <c:v>0.45256275935400925</c:v>
                </c:pt>
                <c:pt idx="9">
                  <c:v>0.42171969572797097</c:v>
                </c:pt>
                <c:pt idx="10">
                  <c:v>0.39481243315610876</c:v>
                </c:pt>
                <c:pt idx="11">
                  <c:v>0.37113279997974652</c:v>
                </c:pt>
                <c:pt idx="12">
                  <c:v>0.3501329071018377</c:v>
                </c:pt>
                <c:pt idx="13">
                  <c:v>0.33138222990482452</c:v>
                </c:pt>
                <c:pt idx="14">
                  <c:v>0.31453777955178908</c:v>
                </c:pt>
                <c:pt idx="15">
                  <c:v>0.29932293154562584</c:v>
                </c:pt>
                <c:pt idx="16">
                  <c:v>0.28551211541368909</c:v>
                </c:pt>
                <c:pt idx="17">
                  <c:v>0.2729195559765023</c:v>
                </c:pt>
                <c:pt idx="18">
                  <c:v>0.2613908681693623</c:v>
                </c:pt>
                <c:pt idx="19">
                  <c:v>0.250796695835312</c:v>
                </c:pt>
                <c:pt idx="20">
                  <c:v>0.24102783718201276</c:v>
                </c:pt>
                <c:pt idx="21">
                  <c:v>0.23199146674708482</c:v>
                </c:pt>
                <c:pt idx="22">
                  <c:v>0.223608176506363</c:v>
                </c:pt>
                <c:pt idx="23">
                  <c:v>0.21580963614654272</c:v>
                </c:pt>
                <c:pt idx="24">
                  <c:v>0.20853672643882593</c:v>
                </c:pt>
                <c:pt idx="25">
                  <c:v>0.20173803774570306</c:v>
                </c:pt>
                <c:pt idx="26">
                  <c:v>0.19536865296357575</c:v>
                </c:pt>
                <c:pt idx="27">
                  <c:v>0.18938915396264749</c:v>
                </c:pt>
                <c:pt idx="28">
                  <c:v>0.18376480506320519</c:v>
                </c:pt>
                <c:pt idx="29">
                  <c:v>0.17846487780717116</c:v>
                </c:pt>
                <c:pt idx="30">
                  <c:v>0.17346208929906415</c:v>
                </c:pt>
                <c:pt idx="31">
                  <c:v>0.16873213243872923</c:v>
                </c:pt>
                <c:pt idx="32">
                  <c:v>0.16425328097151176</c:v>
                </c:pt>
                <c:pt idx="33">
                  <c:v>0.16093511837310248</c:v>
                </c:pt>
                <c:pt idx="34">
                  <c:v>0.15771649728395079</c:v>
                </c:pt>
                <c:pt idx="35">
                  <c:v>0.15459347563034911</c:v>
                </c:pt>
                <c:pt idx="36">
                  <c:v>0.15156230456797631</c:v>
                </c:pt>
                <c:pt idx="37">
                  <c:v>0.14861941722645414</c:v>
                </c:pt>
                <c:pt idx="38">
                  <c:v>0.14576141821143396</c:v>
                </c:pt>
                <c:pt idx="39">
                  <c:v>0.14298507380650022</c:v>
                </c:pt>
                <c:pt idx="40">
                  <c:v>0.14028730282207799</c:v>
                </c:pt>
                <c:pt idx="41">
                  <c:v>0.13766516804297504</c:v>
                </c:pt>
                <c:pt idx="42">
                  <c:v>0.13511586823021601</c:v>
                </c:pt>
                <c:pt idx="43">
                  <c:v>0.1326367306364912</c:v>
                </c:pt>
                <c:pt idx="44">
                  <c:v>0.13022520399786777</c:v>
                </c:pt>
                <c:pt idx="45">
                  <c:v>0.12787885196743995</c:v>
                </c:pt>
                <c:pt idx="46">
                  <c:v>0.12559534695935443</c:v>
                </c:pt>
                <c:pt idx="47">
                  <c:v>0.12337246437415773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C08-429E-8C39-AF01062C02D2}"/>
            </c:ext>
          </c:extLst>
        </c:ser>
        <c:ser>
          <c:idx val="0"/>
          <c:order val="2"/>
          <c:tx>
            <c:v>Sd,SLV</c:v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'Spettri di risposta'!$AB$5:$AB$52</c:f>
              <c:numCache>
                <c:formatCode>0.000</c:formatCode>
                <c:ptCount val="48"/>
                <c:pt idx="0">
                  <c:v>0</c:v>
                </c:pt>
                <c:pt idx="1">
                  <c:v>0.17651869980007165</c:v>
                </c:pt>
                <c:pt idx="2">
                  <c:v>0.52955609940021497</c:v>
                </c:pt>
                <c:pt idx="3">
                  <c:v>0.59857089608687453</c:v>
                </c:pt>
                <c:pt idx="4">
                  <c:v>0.66758569277353397</c:v>
                </c:pt>
                <c:pt idx="5">
                  <c:v>0.73660048946019341</c:v>
                </c:pt>
                <c:pt idx="6">
                  <c:v>0.80561528614685296</c:v>
                </c:pt>
                <c:pt idx="7">
                  <c:v>0.87463008283351251</c:v>
                </c:pt>
                <c:pt idx="8">
                  <c:v>0.94364487952017195</c:v>
                </c:pt>
                <c:pt idx="9">
                  <c:v>1.0126596762068316</c:v>
                </c:pt>
                <c:pt idx="10">
                  <c:v>1.0816744728934911</c:v>
                </c:pt>
                <c:pt idx="11">
                  <c:v>1.1506892695801505</c:v>
                </c:pt>
                <c:pt idx="12">
                  <c:v>1.2197040662668099</c:v>
                </c:pt>
                <c:pt idx="13">
                  <c:v>1.2887188629534694</c:v>
                </c:pt>
                <c:pt idx="14">
                  <c:v>1.3577336596401288</c:v>
                </c:pt>
                <c:pt idx="15">
                  <c:v>1.4267484563267885</c:v>
                </c:pt>
                <c:pt idx="16">
                  <c:v>1.4957632530134481</c:v>
                </c:pt>
                <c:pt idx="17">
                  <c:v>1.5647780497001076</c:v>
                </c:pt>
                <c:pt idx="18">
                  <c:v>1.633792846386767</c:v>
                </c:pt>
                <c:pt idx="19">
                  <c:v>1.7028076430734265</c:v>
                </c:pt>
                <c:pt idx="20">
                  <c:v>1.7718224397600859</c:v>
                </c:pt>
                <c:pt idx="21">
                  <c:v>1.8408372364467454</c:v>
                </c:pt>
                <c:pt idx="22">
                  <c:v>1.9098520331334048</c:v>
                </c:pt>
                <c:pt idx="23">
                  <c:v>1.9788668298200647</c:v>
                </c:pt>
                <c:pt idx="24">
                  <c:v>2.0478816265067241</c:v>
                </c:pt>
                <c:pt idx="25">
                  <c:v>2.1168964231933836</c:v>
                </c:pt>
                <c:pt idx="26">
                  <c:v>2.185911219880043</c:v>
                </c:pt>
                <c:pt idx="27">
                  <c:v>2.2549260165667024</c:v>
                </c:pt>
                <c:pt idx="28">
                  <c:v>2.3239408132533619</c:v>
                </c:pt>
                <c:pt idx="29">
                  <c:v>2.3929556099400213</c:v>
                </c:pt>
                <c:pt idx="30">
                  <c:v>2.4619704066266812</c:v>
                </c:pt>
                <c:pt idx="31">
                  <c:v>2.5309852033133406</c:v>
                </c:pt>
                <c:pt idx="32">
                  <c:v>2.6</c:v>
                </c:pt>
                <c:pt idx="33">
                  <c:v>2.6266666666666669</c:v>
                </c:pt>
                <c:pt idx="34">
                  <c:v>2.6533333333333333</c:v>
                </c:pt>
                <c:pt idx="35">
                  <c:v>2.68</c:v>
                </c:pt>
                <c:pt idx="36">
                  <c:v>2.7066666666666666</c:v>
                </c:pt>
                <c:pt idx="37">
                  <c:v>2.7333333333333334</c:v>
                </c:pt>
                <c:pt idx="38">
                  <c:v>2.7600000000000002</c:v>
                </c:pt>
                <c:pt idx="39">
                  <c:v>2.7866666666666666</c:v>
                </c:pt>
                <c:pt idx="40">
                  <c:v>2.8133333333333335</c:v>
                </c:pt>
                <c:pt idx="41">
                  <c:v>2.84</c:v>
                </c:pt>
                <c:pt idx="42">
                  <c:v>2.8666666666666667</c:v>
                </c:pt>
                <c:pt idx="43">
                  <c:v>2.8933333333333335</c:v>
                </c:pt>
                <c:pt idx="44">
                  <c:v>2.92</c:v>
                </c:pt>
                <c:pt idx="45">
                  <c:v>2.9466666666666668</c:v>
                </c:pt>
                <c:pt idx="46">
                  <c:v>2.9733333333333332</c:v>
                </c:pt>
                <c:pt idx="47">
                  <c:v>3</c:v>
                </c:pt>
              </c:numCache>
            </c:numRef>
          </c:xVal>
          <c:yVal>
            <c:numRef>
              <c:f>'Spettri di risposta'!$AC$5:$AC$52</c:f>
              <c:numCache>
                <c:formatCode>0.000</c:formatCode>
                <c:ptCount val="48"/>
                <c:pt idx="0">
                  <c:v>0.33462500000000001</c:v>
                </c:pt>
                <c:pt idx="1">
                  <c:v>0.13785405982905985</c:v>
                </c:pt>
                <c:pt idx="2">
                  <c:v>0.13785405982905985</c:v>
                </c:pt>
                <c:pt idx="3">
                  <c:v>0.12195958521672864</c:v>
                </c:pt>
                <c:pt idx="4">
                  <c:v>0.10935144206921339</c:v>
                </c:pt>
                <c:pt idx="5">
                  <c:v>9.910590510611636E-2</c:v>
                </c:pt>
                <c:pt idx="6">
                  <c:v>9.0615780838415719E-2</c:v>
                </c:pt>
                <c:pt idx="7">
                  <c:v>8.3465524045388637E-2</c:v>
                </c:pt>
                <c:pt idx="8">
                  <c:v>7.7361155445129795E-2</c:v>
                </c:pt>
                <c:pt idx="9">
                  <c:v>7.2088836876576232E-2</c:v>
                </c:pt>
                <c:pt idx="10">
                  <c:v>6.7489304813010048E-2</c:v>
                </c:pt>
                <c:pt idx="11">
                  <c:v>6.6924999999999998E-2</c:v>
                </c:pt>
                <c:pt idx="12">
                  <c:v>6.6924999999999998E-2</c:v>
                </c:pt>
                <c:pt idx="13">
                  <c:v>6.6924999999999998E-2</c:v>
                </c:pt>
                <c:pt idx="14">
                  <c:v>6.6924999999999998E-2</c:v>
                </c:pt>
                <c:pt idx="15">
                  <c:v>6.6924999999999998E-2</c:v>
                </c:pt>
                <c:pt idx="16">
                  <c:v>6.6924999999999998E-2</c:v>
                </c:pt>
                <c:pt idx="17">
                  <c:v>6.6924999999999998E-2</c:v>
                </c:pt>
                <c:pt idx="18">
                  <c:v>6.6924999999999998E-2</c:v>
                </c:pt>
                <c:pt idx="19">
                  <c:v>6.6924999999999998E-2</c:v>
                </c:pt>
                <c:pt idx="20">
                  <c:v>6.6924999999999998E-2</c:v>
                </c:pt>
                <c:pt idx="21">
                  <c:v>6.6924999999999998E-2</c:v>
                </c:pt>
                <c:pt idx="22">
                  <c:v>6.6924999999999998E-2</c:v>
                </c:pt>
                <c:pt idx="23">
                  <c:v>6.6924999999999998E-2</c:v>
                </c:pt>
                <c:pt idx="24">
                  <c:v>6.6924999999999998E-2</c:v>
                </c:pt>
                <c:pt idx="25">
                  <c:v>6.6924999999999998E-2</c:v>
                </c:pt>
                <c:pt idx="26">
                  <c:v>6.6924999999999998E-2</c:v>
                </c:pt>
                <c:pt idx="27">
                  <c:v>6.6924999999999998E-2</c:v>
                </c:pt>
                <c:pt idx="28">
                  <c:v>6.6924999999999998E-2</c:v>
                </c:pt>
                <c:pt idx="29">
                  <c:v>6.6924999999999998E-2</c:v>
                </c:pt>
                <c:pt idx="30">
                  <c:v>6.6924999999999998E-2</c:v>
                </c:pt>
                <c:pt idx="31">
                  <c:v>6.6924999999999998E-2</c:v>
                </c:pt>
                <c:pt idx="32">
                  <c:v>6.6924999999999998E-2</c:v>
                </c:pt>
                <c:pt idx="33">
                  <c:v>6.6924999999999998E-2</c:v>
                </c:pt>
                <c:pt idx="34">
                  <c:v>6.6924999999999998E-2</c:v>
                </c:pt>
                <c:pt idx="35">
                  <c:v>6.6924999999999998E-2</c:v>
                </c:pt>
                <c:pt idx="36">
                  <c:v>6.6924999999999998E-2</c:v>
                </c:pt>
                <c:pt idx="37">
                  <c:v>6.6924999999999998E-2</c:v>
                </c:pt>
                <c:pt idx="38">
                  <c:v>6.6924999999999998E-2</c:v>
                </c:pt>
                <c:pt idx="39">
                  <c:v>6.6924999999999998E-2</c:v>
                </c:pt>
                <c:pt idx="40">
                  <c:v>6.6924999999999998E-2</c:v>
                </c:pt>
                <c:pt idx="41">
                  <c:v>6.6924999999999998E-2</c:v>
                </c:pt>
                <c:pt idx="42">
                  <c:v>6.6924999999999998E-2</c:v>
                </c:pt>
                <c:pt idx="43">
                  <c:v>6.6924999999999998E-2</c:v>
                </c:pt>
                <c:pt idx="44">
                  <c:v>6.6924999999999998E-2</c:v>
                </c:pt>
                <c:pt idx="45">
                  <c:v>6.6924999999999998E-2</c:v>
                </c:pt>
                <c:pt idx="46">
                  <c:v>6.6924999999999998E-2</c:v>
                </c:pt>
                <c:pt idx="47">
                  <c:v>6.6924999999999998E-2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C08-429E-8C39-AF01062C02D2}"/>
            </c:ext>
          </c:extLst>
        </c:ser>
        <c:ser>
          <c:idx val="2"/>
          <c:order val="3"/>
          <c:tx>
            <c:v>Se,SLD</c:v>
          </c:tx>
          <c:spPr>
            <a:ln w="127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'Spettri di risposta'!$T$5:$T$52</c:f>
              <c:numCache>
                <c:formatCode>0.000</c:formatCode>
                <c:ptCount val="48"/>
                <c:pt idx="0">
                  <c:v>0</c:v>
                </c:pt>
                <c:pt idx="1">
                  <c:v>0.15341737754593213</c:v>
                </c:pt>
                <c:pt idx="2">
                  <c:v>0.46025213263779635</c:v>
                </c:pt>
                <c:pt idx="3">
                  <c:v>0.50917706154986986</c:v>
                </c:pt>
                <c:pt idx="4">
                  <c:v>0.55810199046194331</c:v>
                </c:pt>
                <c:pt idx="5">
                  <c:v>0.60702691937401676</c:v>
                </c:pt>
                <c:pt idx="6">
                  <c:v>0.65595184828609021</c:v>
                </c:pt>
                <c:pt idx="7">
                  <c:v>0.70487677719816366</c:v>
                </c:pt>
                <c:pt idx="8">
                  <c:v>0.75380170611023711</c:v>
                </c:pt>
                <c:pt idx="9">
                  <c:v>0.80272663502231056</c:v>
                </c:pt>
                <c:pt idx="10">
                  <c:v>0.85165156393438401</c:v>
                </c:pt>
                <c:pt idx="11">
                  <c:v>0.90057649284645747</c:v>
                </c:pt>
                <c:pt idx="12">
                  <c:v>0.94950142175853092</c:v>
                </c:pt>
                <c:pt idx="13">
                  <c:v>0.99842635067060437</c:v>
                </c:pt>
                <c:pt idx="14">
                  <c:v>1.0473512795826778</c:v>
                </c:pt>
                <c:pt idx="15">
                  <c:v>1.0962762084947513</c:v>
                </c:pt>
                <c:pt idx="16">
                  <c:v>1.1452011374068247</c:v>
                </c:pt>
                <c:pt idx="17">
                  <c:v>1.1941260663188982</c:v>
                </c:pt>
                <c:pt idx="18">
                  <c:v>1.2430509952309716</c:v>
                </c:pt>
                <c:pt idx="19">
                  <c:v>1.2919759241430451</c:v>
                </c:pt>
                <c:pt idx="20">
                  <c:v>1.3409008530551187</c:v>
                </c:pt>
                <c:pt idx="21">
                  <c:v>1.389825781967192</c:v>
                </c:pt>
                <c:pt idx="22">
                  <c:v>1.4387507108792654</c:v>
                </c:pt>
                <c:pt idx="23">
                  <c:v>1.4876756397913391</c:v>
                </c:pt>
                <c:pt idx="24">
                  <c:v>1.5366005687034123</c:v>
                </c:pt>
                <c:pt idx="25">
                  <c:v>1.585525497615486</c:v>
                </c:pt>
                <c:pt idx="26">
                  <c:v>1.6344504265275595</c:v>
                </c:pt>
                <c:pt idx="27">
                  <c:v>1.6833753554396327</c:v>
                </c:pt>
                <c:pt idx="28">
                  <c:v>1.7323002843517064</c:v>
                </c:pt>
                <c:pt idx="29">
                  <c:v>1.7812252132637798</c:v>
                </c:pt>
                <c:pt idx="30">
                  <c:v>1.8301501421758533</c:v>
                </c:pt>
                <c:pt idx="31">
                  <c:v>1.8790750710879267</c:v>
                </c:pt>
                <c:pt idx="32">
                  <c:v>1.9280000000000002</c:v>
                </c:pt>
                <c:pt idx="33">
                  <c:v>1.9994666666666667</c:v>
                </c:pt>
                <c:pt idx="34">
                  <c:v>2.0709333333333335</c:v>
                </c:pt>
                <c:pt idx="35">
                  <c:v>2.1424000000000003</c:v>
                </c:pt>
                <c:pt idx="36">
                  <c:v>2.2138666666666666</c:v>
                </c:pt>
                <c:pt idx="37">
                  <c:v>2.2853333333333334</c:v>
                </c:pt>
                <c:pt idx="38">
                  <c:v>2.3568000000000002</c:v>
                </c:pt>
                <c:pt idx="39">
                  <c:v>2.4282666666666666</c:v>
                </c:pt>
                <c:pt idx="40">
                  <c:v>2.4997333333333334</c:v>
                </c:pt>
                <c:pt idx="41">
                  <c:v>2.5712000000000002</c:v>
                </c:pt>
                <c:pt idx="42">
                  <c:v>2.6426666666666669</c:v>
                </c:pt>
                <c:pt idx="43">
                  <c:v>2.7141333333333333</c:v>
                </c:pt>
                <c:pt idx="44">
                  <c:v>2.7856000000000001</c:v>
                </c:pt>
                <c:pt idx="45">
                  <c:v>2.8570666666666669</c:v>
                </c:pt>
                <c:pt idx="46">
                  <c:v>2.9285333333333332</c:v>
                </c:pt>
                <c:pt idx="47">
                  <c:v>3</c:v>
                </c:pt>
              </c:numCache>
            </c:numRef>
          </c:xVal>
          <c:yVal>
            <c:numRef>
              <c:f>'Spettri di risposta'!$U$5:$U$52</c:f>
              <c:numCache>
                <c:formatCode>0.000</c:formatCode>
                <c:ptCount val="48"/>
                <c:pt idx="0">
                  <c:v>0.123</c:v>
                </c:pt>
                <c:pt idx="1">
                  <c:v>0.28486799999999995</c:v>
                </c:pt>
                <c:pt idx="2">
                  <c:v>0.28486799999999995</c:v>
                </c:pt>
                <c:pt idx="3">
                  <c:v>0.25749609403294471</c:v>
                </c:pt>
                <c:pt idx="4">
                  <c:v>0.23492319819849156</c:v>
                </c:pt>
                <c:pt idx="5">
                  <c:v>0.21598894601819177</c:v>
                </c:pt>
                <c:pt idx="6">
                  <c:v>0.1998791601286567</c:v>
                </c:pt>
                <c:pt idx="7">
                  <c:v>0.18600570874447206</c:v>
                </c:pt>
                <c:pt idx="8">
                  <c:v>0.17393314907288079</c:v>
                </c:pt>
                <c:pt idx="9">
                  <c:v>0.16333219654112974</c:v>
                </c:pt>
                <c:pt idx="10">
                  <c:v>0.1539492323768753</c:v>
                </c:pt>
                <c:pt idx="11">
                  <c:v>0.14558575041844599</c:v>
                </c:pt>
                <c:pt idx="12">
                  <c:v>0.13808415818634426</c:v>
                </c:pt>
                <c:pt idx="13">
                  <c:v>0.1313177526136019</c:v>
                </c:pt>
                <c:pt idx="14">
                  <c:v>0.12518350535887598</c:v>
                </c:pt>
                <c:pt idx="15">
                  <c:v>0.11959677999423764</c:v>
                </c:pt>
                <c:pt idx="16">
                  <c:v>0.11448740333698032</c:v>
                </c:pt>
                <c:pt idx="17">
                  <c:v>0.10979670255791049</c:v>
                </c:pt>
                <c:pt idx="18">
                  <c:v>0.10547524198385921</c:v>
                </c:pt>
                <c:pt idx="19">
                  <c:v>0.10148107412081109</c:v>
                </c:pt>
                <c:pt idx="20">
                  <c:v>9.7778373562474222E-2</c:v>
                </c:pt>
                <c:pt idx="21">
                  <c:v>9.4336359435415004E-2</c:v>
                </c:pt>
                <c:pt idx="22">
                  <c:v>9.1128437698659887E-2</c:v>
                </c:pt>
                <c:pt idx="23">
                  <c:v>8.8131512685556482E-2</c:v>
                </c:pt>
                <c:pt idx="24">
                  <c:v>8.5325430167512983E-2</c:v>
                </c:pt>
                <c:pt idx="25">
                  <c:v>8.2692523530807444E-2</c:v>
                </c:pt>
                <c:pt idx="26">
                  <c:v>8.0217241460674563E-2</c:v>
                </c:pt>
                <c:pt idx="27">
                  <c:v>7.7885840550411645E-2</c:v>
                </c:pt>
                <c:pt idx="28">
                  <c:v>7.5686129999875049E-2</c:v>
                </c:pt>
                <c:pt idx="29">
                  <c:v>7.3607258388188809E-2</c:v>
                </c:pt>
                <c:pt idx="30">
                  <c:v>7.1639534647352288E-2</c:v>
                </c:pt>
                <c:pt idx="31">
                  <c:v>6.9774277003395321E-2</c:v>
                </c:pt>
                <c:pt idx="32">
                  <c:v>6.800368491714924E-2</c:v>
                </c:pt>
                <c:pt idx="33">
                  <c:v>6.322927015988207E-2</c:v>
                </c:pt>
                <c:pt idx="34">
                  <c:v>5.8940561469759234E-2</c:v>
                </c:pt>
                <c:pt idx="35">
                  <c:v>5.5073843516710227E-2</c:v>
                </c:pt>
                <c:pt idx="36">
                  <c:v>5.1575516154264263E-2</c:v>
                </c:pt>
                <c:pt idx="37">
                  <c:v>4.8400226854494334E-2</c:v>
                </c:pt>
                <c:pt idx="38">
                  <c:v>4.5509393381304129E-2</c:v>
                </c:pt>
                <c:pt idx="39">
                  <c:v>4.2870026218110008E-2</c:v>
                </c:pt>
                <c:pt idx="40">
                  <c:v>4.0453783202553356E-2</c:v>
                </c:pt>
                <c:pt idx="41">
                  <c:v>3.8236205474657441E-2</c:v>
                </c:pt>
                <c:pt idx="42">
                  <c:v>3.619609605832564E-2</c:v>
                </c:pt>
                <c:pt idx="43">
                  <c:v>3.4315011437652192E-2</c:v>
                </c:pt>
                <c:pt idx="44">
                  <c:v>3.2576843242336194E-2</c:v>
                </c:pt>
                <c:pt idx="45">
                  <c:v>3.0967472242094153E-2</c:v>
                </c:pt>
                <c:pt idx="46">
                  <c:v>2.94744807102078E-2</c:v>
                </c:pt>
                <c:pt idx="47">
                  <c:v>2.8086912168340947E-2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C08-429E-8C39-AF01062C02D2}"/>
            </c:ext>
          </c:extLst>
        </c:ser>
        <c:ser>
          <c:idx val="3"/>
          <c:order val="4"/>
          <c:tx>
            <c:v>Sd,SLD</c:v>
          </c:tx>
          <c:spPr>
            <a:ln w="9525">
              <a:solidFill>
                <a:schemeClr val="tx1">
                  <a:lumMod val="50000"/>
                  <a:lumOff val="50000"/>
                </a:schemeClr>
              </a:solidFill>
              <a:prstDash val="lgDash"/>
            </a:ln>
          </c:spPr>
          <c:marker>
            <c:symbol val="none"/>
          </c:marker>
          <c:xVal>
            <c:numRef>
              <c:f>'Spettri di risposta'!$Z$5:$Z$52</c:f>
              <c:numCache>
                <c:formatCode>0.000</c:formatCode>
                <c:ptCount val="48"/>
                <c:pt idx="0">
                  <c:v>0</c:v>
                </c:pt>
                <c:pt idx="1">
                  <c:v>0.15341737754593213</c:v>
                </c:pt>
                <c:pt idx="2">
                  <c:v>0.46025213263779635</c:v>
                </c:pt>
                <c:pt idx="3">
                  <c:v>0.50917706154986986</c:v>
                </c:pt>
                <c:pt idx="4">
                  <c:v>0.55810199046194331</c:v>
                </c:pt>
                <c:pt idx="5">
                  <c:v>0.60702691937401676</c:v>
                </c:pt>
                <c:pt idx="6">
                  <c:v>0.65595184828609021</c:v>
                </c:pt>
                <c:pt idx="7">
                  <c:v>0.70487677719816366</c:v>
                </c:pt>
                <c:pt idx="8">
                  <c:v>0.75380170611023711</c:v>
                </c:pt>
                <c:pt idx="9">
                  <c:v>0.80272663502231056</c:v>
                </c:pt>
                <c:pt idx="10">
                  <c:v>0.85165156393438401</c:v>
                </c:pt>
                <c:pt idx="11">
                  <c:v>0.90057649284645747</c:v>
                </c:pt>
                <c:pt idx="12">
                  <c:v>0.94950142175853092</c:v>
                </c:pt>
                <c:pt idx="13">
                  <c:v>0.99842635067060437</c:v>
                </c:pt>
                <c:pt idx="14">
                  <c:v>1.0473512795826778</c:v>
                </c:pt>
                <c:pt idx="15">
                  <c:v>1.0962762084947513</c:v>
                </c:pt>
                <c:pt idx="16">
                  <c:v>1.1452011374068247</c:v>
                </c:pt>
                <c:pt idx="17">
                  <c:v>1.1941260663188982</c:v>
                </c:pt>
                <c:pt idx="18">
                  <c:v>1.2430509952309716</c:v>
                </c:pt>
                <c:pt idx="19">
                  <c:v>1.2919759241430451</c:v>
                </c:pt>
                <c:pt idx="20">
                  <c:v>1.3409008530551187</c:v>
                </c:pt>
                <c:pt idx="21">
                  <c:v>1.389825781967192</c:v>
                </c:pt>
                <c:pt idx="22">
                  <c:v>1.4387507108792654</c:v>
                </c:pt>
                <c:pt idx="23">
                  <c:v>1.4876756397913391</c:v>
                </c:pt>
                <c:pt idx="24">
                  <c:v>1.5366005687034123</c:v>
                </c:pt>
                <c:pt idx="25">
                  <c:v>1.585525497615486</c:v>
                </c:pt>
                <c:pt idx="26">
                  <c:v>1.6344504265275595</c:v>
                </c:pt>
                <c:pt idx="27">
                  <c:v>1.6833753554396327</c:v>
                </c:pt>
                <c:pt idx="28">
                  <c:v>1.7323002843517064</c:v>
                </c:pt>
                <c:pt idx="29">
                  <c:v>1.7812252132637798</c:v>
                </c:pt>
                <c:pt idx="30">
                  <c:v>1.8301501421758533</c:v>
                </c:pt>
                <c:pt idx="31">
                  <c:v>1.8790750710879267</c:v>
                </c:pt>
                <c:pt idx="32">
                  <c:v>1.9280000000000002</c:v>
                </c:pt>
                <c:pt idx="33">
                  <c:v>1.9994666666666667</c:v>
                </c:pt>
                <c:pt idx="34">
                  <c:v>2.0709333333333335</c:v>
                </c:pt>
                <c:pt idx="35">
                  <c:v>2.1424000000000003</c:v>
                </c:pt>
                <c:pt idx="36">
                  <c:v>2.2138666666666666</c:v>
                </c:pt>
                <c:pt idx="37">
                  <c:v>2.2853333333333334</c:v>
                </c:pt>
                <c:pt idx="38">
                  <c:v>2.3568000000000002</c:v>
                </c:pt>
                <c:pt idx="39">
                  <c:v>2.4282666666666666</c:v>
                </c:pt>
                <c:pt idx="40">
                  <c:v>2.4997333333333334</c:v>
                </c:pt>
                <c:pt idx="41">
                  <c:v>2.5712000000000002</c:v>
                </c:pt>
                <c:pt idx="42">
                  <c:v>2.6426666666666669</c:v>
                </c:pt>
                <c:pt idx="43">
                  <c:v>2.7141333333333333</c:v>
                </c:pt>
                <c:pt idx="44">
                  <c:v>2.7856000000000001</c:v>
                </c:pt>
                <c:pt idx="45">
                  <c:v>2.8570666666666669</c:v>
                </c:pt>
                <c:pt idx="46">
                  <c:v>2.9285333333333332</c:v>
                </c:pt>
                <c:pt idx="47">
                  <c:v>3</c:v>
                </c:pt>
              </c:numCache>
            </c:numRef>
          </c:xVal>
          <c:yVal>
            <c:numRef>
              <c:f>'Spettri di risposta'!$AA$5:$AA$52</c:f>
              <c:numCache>
                <c:formatCode>0.000</c:formatCode>
                <c:ptCount val="48"/>
                <c:pt idx="0">
                  <c:v>0.123</c:v>
                </c:pt>
                <c:pt idx="1">
                  <c:v>0.18991199999999997</c:v>
                </c:pt>
                <c:pt idx="2">
                  <c:v>0.18991199999999997</c:v>
                </c:pt>
                <c:pt idx="3">
                  <c:v>0.1716640626886298</c:v>
                </c:pt>
                <c:pt idx="4">
                  <c:v>0.15661546546566105</c:v>
                </c:pt>
                <c:pt idx="5">
                  <c:v>0.1439926306787945</c:v>
                </c:pt>
                <c:pt idx="6">
                  <c:v>0.13325277341910446</c:v>
                </c:pt>
                <c:pt idx="7">
                  <c:v>0.12400380582964804</c:v>
                </c:pt>
                <c:pt idx="8">
                  <c:v>0.11595543271525387</c:v>
                </c:pt>
                <c:pt idx="9">
                  <c:v>0.10888813102741983</c:v>
                </c:pt>
                <c:pt idx="10">
                  <c:v>0.10263282158458353</c:v>
                </c:pt>
                <c:pt idx="11">
                  <c:v>9.7057166945630657E-2</c:v>
                </c:pt>
                <c:pt idx="12">
                  <c:v>9.2056105457562834E-2</c:v>
                </c:pt>
                <c:pt idx="13">
                  <c:v>8.7545168409067939E-2</c:v>
                </c:pt>
                <c:pt idx="14">
                  <c:v>8.3455670239250657E-2</c:v>
                </c:pt>
                <c:pt idx="15">
                  <c:v>7.9731186662825096E-2</c:v>
                </c:pt>
                <c:pt idx="16">
                  <c:v>7.6324935557986875E-2</c:v>
                </c:pt>
                <c:pt idx="17">
                  <c:v>7.3197801705273666E-2</c:v>
                </c:pt>
                <c:pt idx="18">
                  <c:v>7.031682798923948E-2</c:v>
                </c:pt>
                <c:pt idx="19">
                  <c:v>6.7654049413874054E-2</c:v>
                </c:pt>
                <c:pt idx="20">
                  <c:v>6.5185582374982814E-2</c:v>
                </c:pt>
                <c:pt idx="21">
                  <c:v>6.2890906290276674E-2</c:v>
                </c:pt>
                <c:pt idx="22">
                  <c:v>6.0752291799106593E-2</c:v>
                </c:pt>
                <c:pt idx="23">
                  <c:v>5.8754341790370986E-2</c:v>
                </c:pt>
                <c:pt idx="24">
                  <c:v>5.6883620111675325E-2</c:v>
                </c:pt>
                <c:pt idx="25">
                  <c:v>5.5128349020538293E-2</c:v>
                </c:pt>
                <c:pt idx="26">
                  <c:v>5.3478160973783044E-2</c:v>
                </c:pt>
                <c:pt idx="27">
                  <c:v>5.1923893700274427E-2</c:v>
                </c:pt>
                <c:pt idx="28">
                  <c:v>5.0457419999916701E-2</c:v>
                </c:pt>
                <c:pt idx="29">
                  <c:v>4.9071505592125871E-2</c:v>
                </c:pt>
                <c:pt idx="30">
                  <c:v>4.7759689764901525E-2</c:v>
                </c:pt>
                <c:pt idx="31">
                  <c:v>4.6516184668930212E-2</c:v>
                </c:pt>
                <c:pt idx="32">
                  <c:v>4.5335789944766162E-2</c:v>
                </c:pt>
                <c:pt idx="33">
                  <c:v>4.2152846773254711E-2</c:v>
                </c:pt>
                <c:pt idx="34">
                  <c:v>3.9293707646506158E-2</c:v>
                </c:pt>
                <c:pt idx="35">
                  <c:v>3.6715895677806816E-2</c:v>
                </c:pt>
                <c:pt idx="36">
                  <c:v>3.4383677436176173E-2</c:v>
                </c:pt>
                <c:pt idx="37">
                  <c:v>3.2266817902996223E-2</c:v>
                </c:pt>
                <c:pt idx="38">
                  <c:v>3.0339595587536086E-2</c:v>
                </c:pt>
                <c:pt idx="39">
                  <c:v>2.8580017478740005E-2</c:v>
                </c:pt>
                <c:pt idx="40">
                  <c:v>2.6969188801702237E-2</c:v>
                </c:pt>
                <c:pt idx="41">
                  <c:v>2.5490803649771628E-2</c:v>
                </c:pt>
                <c:pt idx="42">
                  <c:v>2.4130730705550427E-2</c:v>
                </c:pt>
                <c:pt idx="43">
                  <c:v>2.2876674291768127E-2</c:v>
                </c:pt>
                <c:pt idx="44">
                  <c:v>2.1717895494890796E-2</c:v>
                </c:pt>
                <c:pt idx="45">
                  <c:v>2.0644981494729434E-2</c:v>
                </c:pt>
                <c:pt idx="46">
                  <c:v>1.9649653806805199E-2</c:v>
                </c:pt>
                <c:pt idx="47">
                  <c:v>1.8724608112227297E-2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C08-429E-8C39-AF01062C02D2}"/>
            </c:ext>
          </c:extLst>
        </c:ser>
        <c:ser>
          <c:idx val="4"/>
          <c:order val="5"/>
          <c:tx>
            <c:v/>
          </c:tx>
          <c:spPr>
            <a:ln>
              <a:solidFill>
                <a:schemeClr val="bg1"/>
              </a:solidFill>
            </a:ln>
          </c:spPr>
          <c:marker>
            <c:symbol val="none"/>
          </c:marker>
          <c:xVal>
            <c:numRef>
              <c:f>'Spettri di risposta'!$N$6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'Spettri di risposta'!$O$6</c:f>
              <c:numCache>
                <c:formatCode>0.000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C08-429E-8C39-AF01062C02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423168"/>
        <c:axId val="78424704"/>
      </c:scatterChart>
      <c:valAx>
        <c:axId val="78423168"/>
        <c:scaling>
          <c:orientation val="minMax"/>
          <c:max val="3"/>
          <c:min val="0"/>
        </c:scaling>
        <c:delete val="0"/>
        <c:axPos val="b"/>
        <c:majorGridlines/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78424704"/>
        <c:crosses val="autoZero"/>
        <c:crossBetween val="midCat"/>
      </c:valAx>
      <c:valAx>
        <c:axId val="78424704"/>
        <c:scaling>
          <c:orientation val="minMax"/>
        </c:scaling>
        <c:delete val="0"/>
        <c:axPos val="l"/>
        <c:majorGridlines/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784231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135278402699663"/>
          <c:y val="0.16817637795275567"/>
          <c:w val="0.21282738095238107"/>
          <c:h val="0.45029396325459331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000000000000189" l="0.70000000000000062" r="0.70000000000000062" t="0.75000000000000189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15</xdr:col>
      <xdr:colOff>0</xdr:colOff>
      <xdr:row>15</xdr:row>
      <xdr:rowOff>0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16</xdr:row>
      <xdr:rowOff>0</xdr:rowOff>
    </xdr:from>
    <xdr:to>
      <xdr:col>15</xdr:col>
      <xdr:colOff>0</xdr:colOff>
      <xdr:row>31</xdr:row>
      <xdr:rowOff>0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0.75</cdr:x>
      <cdr:y>0.21333</cdr:y>
    </cdr:from>
    <cdr:to>
      <cdr:x>0.8125</cdr:x>
      <cdr:y>0.27333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200400" y="609600"/>
          <a:ext cx="266700" cy="171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it-IT" sz="1100">
            <a:ln>
              <a:solidFill>
                <a:schemeClr val="bg1"/>
              </a:solidFill>
            </a:ln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0.75</cdr:x>
      <cdr:y>0.18667</cdr:y>
    </cdr:from>
    <cdr:to>
      <cdr:x>0.84152</cdr:x>
      <cdr:y>0.23</cdr:y>
    </cdr:to>
    <cdr:sp macro="" textlink="">
      <cdr:nvSpPr>
        <cdr:cNvPr id="3" name="CasellaDiTesto 2"/>
        <cdr:cNvSpPr txBox="1"/>
      </cdr:nvSpPr>
      <cdr:spPr>
        <a:xfrm xmlns:a="http://schemas.openxmlformats.org/drawingml/2006/main">
          <a:off x="3200400" y="533399"/>
          <a:ext cx="390525" cy="12382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it-IT" sz="1100"/>
            <a:t>   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0.72768</cdr:x>
      <cdr:y>0.18333</cdr:y>
    </cdr:from>
    <cdr:to>
      <cdr:x>0.8192</cdr:x>
      <cdr:y>0.22667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105150" y="523875"/>
          <a:ext cx="390525" cy="12382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it-IT" sz="1100"/>
            <a:t>   </a:t>
          </a:r>
        </a:p>
      </cdr:txBody>
    </cdr:sp>
  </cdr:relSizeAnchor>
</c:userShape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workbookViewId="0">
      <selection activeCell="A2" sqref="A2"/>
    </sheetView>
  </sheetViews>
  <sheetFormatPr defaultRowHeight="14.25" x14ac:dyDescent="0.45"/>
  <sheetData>
    <row r="1" spans="1:13" ht="15.75" x14ac:dyDescent="0.5">
      <c r="A1" s="66" t="s">
        <v>164</v>
      </c>
    </row>
    <row r="3" spans="1:13" x14ac:dyDescent="0.45">
      <c r="A3" s="3" t="s">
        <v>2</v>
      </c>
      <c r="B3" s="5" t="s">
        <v>5</v>
      </c>
      <c r="C3" s="58" t="s">
        <v>141</v>
      </c>
      <c r="D3" s="2">
        <v>3</v>
      </c>
      <c r="E3" t="s">
        <v>32</v>
      </c>
      <c r="I3" s="3" t="s">
        <v>2</v>
      </c>
      <c r="J3" s="5" t="s">
        <v>145</v>
      </c>
      <c r="K3" s="58" t="s">
        <v>141</v>
      </c>
      <c r="L3" s="2">
        <v>4.2</v>
      </c>
      <c r="M3" t="s">
        <v>32</v>
      </c>
    </row>
    <row r="4" spans="1:13" x14ac:dyDescent="0.45">
      <c r="A4" t="s">
        <v>147</v>
      </c>
    </row>
    <row r="5" spans="1:13" ht="14.65" x14ac:dyDescent="0.45">
      <c r="D5" s="15" t="s">
        <v>1</v>
      </c>
      <c r="E5" s="15" t="s">
        <v>3</v>
      </c>
      <c r="L5" s="15" t="s">
        <v>1</v>
      </c>
      <c r="M5" s="15" t="s">
        <v>3</v>
      </c>
    </row>
    <row r="6" spans="1:13" x14ac:dyDescent="0.45">
      <c r="A6" t="s">
        <v>144</v>
      </c>
      <c r="C6" s="1" t="s">
        <v>0</v>
      </c>
      <c r="D6" s="2">
        <v>35.856000000000002</v>
      </c>
      <c r="E6" s="2">
        <v>18.360000000000003</v>
      </c>
      <c r="I6" t="s">
        <v>144</v>
      </c>
      <c r="K6" s="1" t="s">
        <v>0</v>
      </c>
      <c r="L6" s="2">
        <v>52.760000000000005</v>
      </c>
      <c r="M6" s="2">
        <v>31.634</v>
      </c>
    </row>
    <row r="7" spans="1:13" x14ac:dyDescent="0.45">
      <c r="C7" s="58" t="s">
        <v>151</v>
      </c>
      <c r="D7" s="1">
        <v>40</v>
      </c>
      <c r="E7" s="1">
        <v>24</v>
      </c>
      <c r="K7" s="58" t="s">
        <v>151</v>
      </c>
      <c r="L7" s="1">
        <v>60</v>
      </c>
      <c r="M7" s="1">
        <v>33</v>
      </c>
    </row>
    <row r="8" spans="1:13" x14ac:dyDescent="0.45">
      <c r="A8" t="s">
        <v>142</v>
      </c>
      <c r="B8" s="14"/>
      <c r="I8" t="s">
        <v>142</v>
      </c>
      <c r="J8" s="14"/>
    </row>
    <row r="9" spans="1:13" x14ac:dyDescent="0.45">
      <c r="A9" t="s">
        <v>143</v>
      </c>
      <c r="C9" s="1" t="s">
        <v>118</v>
      </c>
      <c r="D9" s="53">
        <f>D7*D3^2/10</f>
        <v>36</v>
      </c>
      <c r="E9" s="53">
        <f>E7*D3^2/10</f>
        <v>21.6</v>
      </c>
      <c r="I9" t="s">
        <v>143</v>
      </c>
      <c r="K9" s="1" t="s">
        <v>118</v>
      </c>
      <c r="L9" s="53">
        <f>L7*L3^2/10</f>
        <v>105.84</v>
      </c>
      <c r="M9" s="53">
        <f>M7*L3^2/10</f>
        <v>58.212000000000003</v>
      </c>
    </row>
    <row r="13" spans="1:13" x14ac:dyDescent="0.45">
      <c r="A13" s="3" t="s">
        <v>2</v>
      </c>
      <c r="B13" s="5" t="s">
        <v>146</v>
      </c>
      <c r="C13" s="58" t="s">
        <v>141</v>
      </c>
      <c r="D13" s="2">
        <v>4</v>
      </c>
      <c r="E13" t="s">
        <v>32</v>
      </c>
      <c r="I13" s="3" t="s">
        <v>2</v>
      </c>
      <c r="J13" s="5" t="s">
        <v>4</v>
      </c>
      <c r="K13" s="58" t="s">
        <v>141</v>
      </c>
      <c r="L13" s="2">
        <v>4.3</v>
      </c>
      <c r="M13" t="s">
        <v>32</v>
      </c>
    </row>
    <row r="15" spans="1:13" ht="14.65" x14ac:dyDescent="0.45">
      <c r="D15" s="15" t="s">
        <v>1</v>
      </c>
      <c r="E15" s="15" t="s">
        <v>3</v>
      </c>
      <c r="L15" s="15" t="s">
        <v>1</v>
      </c>
      <c r="M15" s="15" t="s">
        <v>3</v>
      </c>
    </row>
    <row r="16" spans="1:13" x14ac:dyDescent="0.45">
      <c r="A16" t="s">
        <v>144</v>
      </c>
      <c r="C16" s="1" t="s">
        <v>0</v>
      </c>
      <c r="D16" s="2">
        <v>56.46</v>
      </c>
      <c r="E16" s="2">
        <v>33.78</v>
      </c>
      <c r="I16" t="s">
        <v>144</v>
      </c>
      <c r="K16" s="1" t="s">
        <v>0</v>
      </c>
      <c r="L16" s="2">
        <v>53.353000000000009</v>
      </c>
      <c r="M16" s="2">
        <v>31.299999999999997</v>
      </c>
    </row>
    <row r="17" spans="1:13" x14ac:dyDescent="0.45">
      <c r="C17" s="58" t="s">
        <v>151</v>
      </c>
      <c r="D17" s="1">
        <v>60</v>
      </c>
      <c r="E17" s="1">
        <v>33</v>
      </c>
      <c r="K17" s="58" t="s">
        <v>151</v>
      </c>
      <c r="L17" s="1">
        <v>60</v>
      </c>
      <c r="M17" s="1">
        <v>33</v>
      </c>
    </row>
    <row r="18" spans="1:13" x14ac:dyDescent="0.45">
      <c r="A18" t="s">
        <v>142</v>
      </c>
      <c r="B18" s="14"/>
      <c r="I18" t="s">
        <v>142</v>
      </c>
      <c r="J18" s="14"/>
    </row>
    <row r="19" spans="1:13" x14ac:dyDescent="0.45">
      <c r="A19" t="s">
        <v>143</v>
      </c>
      <c r="C19" s="1" t="s">
        <v>118</v>
      </c>
      <c r="D19" s="53">
        <f>D17*D13^2/10</f>
        <v>96</v>
      </c>
      <c r="E19" s="53">
        <f>E17*D13^2/10</f>
        <v>52.8</v>
      </c>
      <c r="I19" t="s">
        <v>143</v>
      </c>
      <c r="K19" s="1" t="s">
        <v>118</v>
      </c>
      <c r="L19" s="53">
        <f>L17*L13^2/10</f>
        <v>110.93999999999998</v>
      </c>
      <c r="M19" s="53">
        <f>M17*L13^2/10</f>
        <v>61.016999999999996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selection activeCell="A2" sqref="A2"/>
    </sheetView>
  </sheetViews>
  <sheetFormatPr defaultRowHeight="14.25" x14ac:dyDescent="0.45"/>
  <sheetData>
    <row r="1" spans="1:13" ht="15.75" x14ac:dyDescent="0.5">
      <c r="A1" s="66" t="s">
        <v>7</v>
      </c>
    </row>
    <row r="3" spans="1:13" x14ac:dyDescent="0.45">
      <c r="A3" s="3" t="s">
        <v>6</v>
      </c>
      <c r="B3" s="4" t="s">
        <v>9</v>
      </c>
      <c r="I3" s="3" t="s">
        <v>6</v>
      </c>
      <c r="J3" s="4" t="s">
        <v>150</v>
      </c>
    </row>
    <row r="5" spans="1:13" ht="14.65" x14ac:dyDescent="0.45">
      <c r="D5" s="15" t="s">
        <v>1</v>
      </c>
      <c r="E5" s="15" t="s">
        <v>3</v>
      </c>
      <c r="L5" s="15" t="s">
        <v>1</v>
      </c>
      <c r="M5" s="15" t="s">
        <v>3</v>
      </c>
    </row>
    <row r="6" spans="1:13" x14ac:dyDescent="0.45">
      <c r="A6" t="s">
        <v>144</v>
      </c>
      <c r="B6" s="1" t="s">
        <v>148</v>
      </c>
      <c r="C6" s="1" t="s">
        <v>8</v>
      </c>
      <c r="D6" s="53">
        <v>223.76870250000005</v>
      </c>
      <c r="E6" s="53">
        <v>136.56344999999999</v>
      </c>
      <c r="I6" t="s">
        <v>144</v>
      </c>
      <c r="J6" s="1" t="s">
        <v>18</v>
      </c>
      <c r="K6" s="1" t="s">
        <v>8</v>
      </c>
      <c r="L6" s="53">
        <v>107.78255000000001</v>
      </c>
      <c r="M6" s="53">
        <v>79.188500000000005</v>
      </c>
    </row>
    <row r="7" spans="1:13" x14ac:dyDescent="0.45">
      <c r="B7" s="1" t="s">
        <v>24</v>
      </c>
      <c r="C7" s="1" t="s">
        <v>8</v>
      </c>
      <c r="D7" s="53">
        <v>260.18610000000001</v>
      </c>
      <c r="E7" s="53">
        <v>160.73182500000001</v>
      </c>
      <c r="J7" s="1" t="s">
        <v>148</v>
      </c>
      <c r="K7" s="1" t="s">
        <v>8</v>
      </c>
      <c r="L7" s="53">
        <v>247.73097000000004</v>
      </c>
      <c r="M7" s="53">
        <v>150.98310000000001</v>
      </c>
    </row>
    <row r="8" spans="1:13" x14ac:dyDescent="0.45">
      <c r="J8" s="1" t="s">
        <v>24</v>
      </c>
      <c r="K8" s="1" t="s">
        <v>8</v>
      </c>
      <c r="L8" s="53">
        <v>266.18270000000007</v>
      </c>
      <c r="M8" s="53">
        <v>163.51759999999999</v>
      </c>
    </row>
    <row r="9" spans="1:13" x14ac:dyDescent="0.45">
      <c r="J9" s="1"/>
      <c r="K9" s="1"/>
      <c r="L9" s="53"/>
      <c r="M9" s="53"/>
    </row>
    <row r="10" spans="1:13" x14ac:dyDescent="0.45">
      <c r="A10" t="s">
        <v>149</v>
      </c>
      <c r="I10" t="s">
        <v>149</v>
      </c>
      <c r="K10" s="1">
        <v>6</v>
      </c>
      <c r="L10" s="53">
        <f>L6</f>
        <v>107.78255000000001</v>
      </c>
      <c r="M10" s="53">
        <f>M6</f>
        <v>79.188500000000005</v>
      </c>
    </row>
    <row r="11" spans="1:13" x14ac:dyDescent="0.45">
      <c r="C11" s="1">
        <v>5</v>
      </c>
      <c r="D11" s="53">
        <f>D6</f>
        <v>223.76870250000005</v>
      </c>
      <c r="E11" s="53">
        <f>E6</f>
        <v>136.56344999999999</v>
      </c>
      <c r="K11" s="1">
        <v>5</v>
      </c>
      <c r="L11" s="53">
        <f>L10+L7</f>
        <v>355.51352000000009</v>
      </c>
      <c r="M11" s="53">
        <f>M10+M7</f>
        <v>230.17160000000001</v>
      </c>
    </row>
    <row r="12" spans="1:13" x14ac:dyDescent="0.45">
      <c r="C12" s="1">
        <v>4</v>
      </c>
      <c r="D12" s="53">
        <f>D11+D7</f>
        <v>483.95480250000003</v>
      </c>
      <c r="E12" s="53">
        <f>E11+E7</f>
        <v>297.295275</v>
      </c>
      <c r="K12" s="1">
        <v>4</v>
      </c>
      <c r="L12" s="53">
        <f>L11+L8</f>
        <v>621.69622000000015</v>
      </c>
      <c r="M12" s="53">
        <f>M11+M8</f>
        <v>393.68920000000003</v>
      </c>
    </row>
    <row r="13" spans="1:13" x14ac:dyDescent="0.45">
      <c r="C13" s="1">
        <v>3</v>
      </c>
      <c r="D13" s="53">
        <f>D12+D7</f>
        <v>744.14090250000004</v>
      </c>
      <c r="E13" s="53">
        <f>E12+E7</f>
        <v>458.02710000000002</v>
      </c>
      <c r="K13" s="1">
        <v>3</v>
      </c>
      <c r="L13" s="53">
        <f>L12+L8</f>
        <v>887.87892000000022</v>
      </c>
      <c r="M13" s="53">
        <f>M12+M8</f>
        <v>557.20680000000004</v>
      </c>
    </row>
    <row r="14" spans="1:13" x14ac:dyDescent="0.45">
      <c r="C14" s="1">
        <v>2</v>
      </c>
      <c r="D14" s="53">
        <f>D13+D7</f>
        <v>1004.3270025</v>
      </c>
      <c r="E14" s="53">
        <f>E13+E7</f>
        <v>618.75892500000009</v>
      </c>
      <c r="K14" s="1">
        <v>2</v>
      </c>
      <c r="L14" s="53">
        <f>L13+L8</f>
        <v>1154.0616200000004</v>
      </c>
      <c r="M14" s="53">
        <f>M13+M8</f>
        <v>720.72440000000006</v>
      </c>
    </row>
    <row r="15" spans="1:13" x14ac:dyDescent="0.45">
      <c r="C15" s="1">
        <v>1</v>
      </c>
      <c r="D15" s="53">
        <f>D14+D7</f>
        <v>1264.5131025000001</v>
      </c>
      <c r="E15" s="53">
        <f>E14+E7</f>
        <v>779.49075000000016</v>
      </c>
      <c r="K15" s="1">
        <v>1</v>
      </c>
      <c r="L15" s="53">
        <f>L14+L8</f>
        <v>1420.2443200000005</v>
      </c>
      <c r="M15" s="53">
        <f>M14+M8</f>
        <v>884.24200000000008</v>
      </c>
    </row>
    <row r="19" spans="1:13" x14ac:dyDescent="0.45">
      <c r="A19" s="3" t="s">
        <v>6</v>
      </c>
      <c r="B19" s="4" t="s">
        <v>10</v>
      </c>
      <c r="I19" s="3" t="s">
        <v>6</v>
      </c>
      <c r="J19" s="4" t="s">
        <v>11</v>
      </c>
    </row>
    <row r="21" spans="1:13" ht="14.65" x14ac:dyDescent="0.45">
      <c r="D21" s="15" t="s">
        <v>1</v>
      </c>
      <c r="E21" s="15" t="s">
        <v>3</v>
      </c>
      <c r="L21" s="15" t="s">
        <v>1</v>
      </c>
      <c r="M21" s="15" t="s">
        <v>3</v>
      </c>
    </row>
    <row r="22" spans="1:13" x14ac:dyDescent="0.45">
      <c r="A22" t="s">
        <v>144</v>
      </c>
      <c r="B22" s="1" t="s">
        <v>148</v>
      </c>
      <c r="C22" s="1" t="s">
        <v>8</v>
      </c>
      <c r="D22" s="53">
        <v>117.72150000000002</v>
      </c>
      <c r="E22" s="53">
        <v>74.904000000000011</v>
      </c>
      <c r="I22" t="s">
        <v>144</v>
      </c>
      <c r="J22" s="1" t="s">
        <v>148</v>
      </c>
      <c r="K22" s="1" t="s">
        <v>8</v>
      </c>
      <c r="L22" s="53">
        <v>72.143550000000019</v>
      </c>
      <c r="M22" s="53">
        <v>48.271500000000003</v>
      </c>
    </row>
    <row r="23" spans="1:13" x14ac:dyDescent="0.45">
      <c r="B23" s="1" t="s">
        <v>24</v>
      </c>
      <c r="C23" s="1" t="s">
        <v>8</v>
      </c>
      <c r="D23" s="53">
        <v>166.05810000000002</v>
      </c>
      <c r="E23" s="53">
        <v>110.39400000000001</v>
      </c>
      <c r="J23" s="1" t="s">
        <v>24</v>
      </c>
      <c r="K23" s="1" t="s">
        <v>8</v>
      </c>
      <c r="L23" s="53">
        <v>115.07400000000001</v>
      </c>
      <c r="M23" s="53">
        <v>80.51400000000001</v>
      </c>
    </row>
    <row r="26" spans="1:13" x14ac:dyDescent="0.45">
      <c r="A26" t="s">
        <v>149</v>
      </c>
      <c r="I26" t="s">
        <v>149</v>
      </c>
    </row>
    <row r="27" spans="1:13" x14ac:dyDescent="0.45">
      <c r="C27" s="1">
        <v>5</v>
      </c>
      <c r="D27" s="53">
        <f>D22</f>
        <v>117.72150000000002</v>
      </c>
      <c r="E27" s="53">
        <f>E22</f>
        <v>74.904000000000011</v>
      </c>
      <c r="K27" s="1">
        <v>5</v>
      </c>
      <c r="L27" s="53">
        <f>L22</f>
        <v>72.143550000000019</v>
      </c>
      <c r="M27" s="53">
        <f>M22</f>
        <v>48.271500000000003</v>
      </c>
    </row>
    <row r="28" spans="1:13" x14ac:dyDescent="0.45">
      <c r="C28" s="1">
        <v>4</v>
      </c>
      <c r="D28" s="53">
        <f>D27+D23</f>
        <v>283.77960000000007</v>
      </c>
      <c r="E28" s="53">
        <f>E27+E23</f>
        <v>185.298</v>
      </c>
      <c r="K28" s="1">
        <v>4</v>
      </c>
      <c r="L28" s="53">
        <f>L27+L23</f>
        <v>187.21755000000002</v>
      </c>
      <c r="M28" s="53">
        <f>M27+M23</f>
        <v>128.78550000000001</v>
      </c>
    </row>
    <row r="29" spans="1:13" x14ac:dyDescent="0.45">
      <c r="C29" s="1">
        <v>3</v>
      </c>
      <c r="D29" s="53">
        <f>D28+D23</f>
        <v>449.8377000000001</v>
      </c>
      <c r="E29" s="53">
        <f>E28+E23</f>
        <v>295.69200000000001</v>
      </c>
      <c r="K29" s="1">
        <v>3</v>
      </c>
      <c r="L29" s="53">
        <f>L28+L23</f>
        <v>302.29155000000003</v>
      </c>
      <c r="M29" s="53">
        <f>M28+M23</f>
        <v>209.29950000000002</v>
      </c>
    </row>
    <row r="30" spans="1:13" x14ac:dyDescent="0.45">
      <c r="C30" s="1">
        <v>2</v>
      </c>
      <c r="D30" s="53">
        <f>D29+D23</f>
        <v>615.89580000000012</v>
      </c>
      <c r="E30" s="53">
        <f>E29+E23</f>
        <v>406.08600000000001</v>
      </c>
      <c r="K30" s="1">
        <v>2</v>
      </c>
      <c r="L30" s="53">
        <f>L29+L23</f>
        <v>417.36555000000004</v>
      </c>
      <c r="M30" s="53">
        <f>M29+M23</f>
        <v>289.81350000000003</v>
      </c>
    </row>
    <row r="31" spans="1:13" x14ac:dyDescent="0.45">
      <c r="C31" s="1">
        <v>1</v>
      </c>
      <c r="D31" s="53">
        <f>D30+D23</f>
        <v>781.9539000000002</v>
      </c>
      <c r="E31" s="53">
        <f>E30+E23</f>
        <v>516.48</v>
      </c>
      <c r="K31" s="1">
        <v>1</v>
      </c>
      <c r="L31" s="53">
        <f>L30+L23</f>
        <v>532.43955000000005</v>
      </c>
      <c r="M31" s="53">
        <f>M30+M23</f>
        <v>370.32750000000004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workbookViewId="0">
      <selection activeCell="A2" sqref="A2"/>
    </sheetView>
  </sheetViews>
  <sheetFormatPr defaultRowHeight="14.25" x14ac:dyDescent="0.45"/>
  <cols>
    <col min="1" max="1" width="18.73046875" style="8" customWidth="1"/>
    <col min="2" max="4" width="10.73046875" style="8" customWidth="1"/>
    <col min="5" max="256" width="9" style="8"/>
    <col min="257" max="257" width="18.73046875" style="8" customWidth="1"/>
    <col min="258" max="260" width="10.73046875" style="8" customWidth="1"/>
    <col min="261" max="512" width="9" style="8"/>
    <col min="513" max="513" width="18.73046875" style="8" customWidth="1"/>
    <col min="514" max="516" width="10.73046875" style="8" customWidth="1"/>
    <col min="517" max="768" width="9" style="8"/>
    <col min="769" max="769" width="18.73046875" style="8" customWidth="1"/>
    <col min="770" max="772" width="10.73046875" style="8" customWidth="1"/>
    <col min="773" max="1024" width="9" style="8"/>
    <col min="1025" max="1025" width="18.73046875" style="8" customWidth="1"/>
    <col min="1026" max="1028" width="10.73046875" style="8" customWidth="1"/>
    <col min="1029" max="1280" width="9" style="8"/>
    <col min="1281" max="1281" width="18.73046875" style="8" customWidth="1"/>
    <col min="1282" max="1284" width="10.73046875" style="8" customWidth="1"/>
    <col min="1285" max="1536" width="9" style="8"/>
    <col min="1537" max="1537" width="18.73046875" style="8" customWidth="1"/>
    <col min="1538" max="1540" width="10.73046875" style="8" customWidth="1"/>
    <col min="1541" max="1792" width="9" style="8"/>
    <col min="1793" max="1793" width="18.73046875" style="8" customWidth="1"/>
    <col min="1794" max="1796" width="10.73046875" style="8" customWidth="1"/>
    <col min="1797" max="2048" width="9" style="8"/>
    <col min="2049" max="2049" width="18.73046875" style="8" customWidth="1"/>
    <col min="2050" max="2052" width="10.73046875" style="8" customWidth="1"/>
    <col min="2053" max="2304" width="9" style="8"/>
    <col min="2305" max="2305" width="18.73046875" style="8" customWidth="1"/>
    <col min="2306" max="2308" width="10.73046875" style="8" customWidth="1"/>
    <col min="2309" max="2560" width="9" style="8"/>
    <col min="2561" max="2561" width="18.73046875" style="8" customWidth="1"/>
    <col min="2562" max="2564" width="10.73046875" style="8" customWidth="1"/>
    <col min="2565" max="2816" width="9" style="8"/>
    <col min="2817" max="2817" width="18.73046875" style="8" customWidth="1"/>
    <col min="2818" max="2820" width="10.73046875" style="8" customWidth="1"/>
    <col min="2821" max="3072" width="9" style="8"/>
    <col min="3073" max="3073" width="18.73046875" style="8" customWidth="1"/>
    <col min="3074" max="3076" width="10.73046875" style="8" customWidth="1"/>
    <col min="3077" max="3328" width="9" style="8"/>
    <col min="3329" max="3329" width="18.73046875" style="8" customWidth="1"/>
    <col min="3330" max="3332" width="10.73046875" style="8" customWidth="1"/>
    <col min="3333" max="3584" width="9" style="8"/>
    <col min="3585" max="3585" width="18.73046875" style="8" customWidth="1"/>
    <col min="3586" max="3588" width="10.73046875" style="8" customWidth="1"/>
    <col min="3589" max="3840" width="9" style="8"/>
    <col min="3841" max="3841" width="18.73046875" style="8" customWidth="1"/>
    <col min="3842" max="3844" width="10.73046875" style="8" customWidth="1"/>
    <col min="3845" max="4096" width="9" style="8"/>
    <col min="4097" max="4097" width="18.73046875" style="8" customWidth="1"/>
    <col min="4098" max="4100" width="10.73046875" style="8" customWidth="1"/>
    <col min="4101" max="4352" width="9" style="8"/>
    <col min="4353" max="4353" width="18.73046875" style="8" customWidth="1"/>
    <col min="4354" max="4356" width="10.73046875" style="8" customWidth="1"/>
    <col min="4357" max="4608" width="9" style="8"/>
    <col min="4609" max="4609" width="18.73046875" style="8" customWidth="1"/>
    <col min="4610" max="4612" width="10.73046875" style="8" customWidth="1"/>
    <col min="4613" max="4864" width="9" style="8"/>
    <col min="4865" max="4865" width="18.73046875" style="8" customWidth="1"/>
    <col min="4866" max="4868" width="10.73046875" style="8" customWidth="1"/>
    <col min="4869" max="5120" width="9" style="8"/>
    <col min="5121" max="5121" width="18.73046875" style="8" customWidth="1"/>
    <col min="5122" max="5124" width="10.73046875" style="8" customWidth="1"/>
    <col min="5125" max="5376" width="9" style="8"/>
    <col min="5377" max="5377" width="18.73046875" style="8" customWidth="1"/>
    <col min="5378" max="5380" width="10.73046875" style="8" customWidth="1"/>
    <col min="5381" max="5632" width="9" style="8"/>
    <col min="5633" max="5633" width="18.73046875" style="8" customWidth="1"/>
    <col min="5634" max="5636" width="10.73046875" style="8" customWidth="1"/>
    <col min="5637" max="5888" width="9" style="8"/>
    <col min="5889" max="5889" width="18.73046875" style="8" customWidth="1"/>
    <col min="5890" max="5892" width="10.73046875" style="8" customWidth="1"/>
    <col min="5893" max="6144" width="9" style="8"/>
    <col min="6145" max="6145" width="18.73046875" style="8" customWidth="1"/>
    <col min="6146" max="6148" width="10.73046875" style="8" customWidth="1"/>
    <col min="6149" max="6400" width="9" style="8"/>
    <col min="6401" max="6401" width="18.73046875" style="8" customWidth="1"/>
    <col min="6402" max="6404" width="10.73046875" style="8" customWidth="1"/>
    <col min="6405" max="6656" width="9" style="8"/>
    <col min="6657" max="6657" width="18.73046875" style="8" customWidth="1"/>
    <col min="6658" max="6660" width="10.73046875" style="8" customWidth="1"/>
    <col min="6661" max="6912" width="9" style="8"/>
    <col min="6913" max="6913" width="18.73046875" style="8" customWidth="1"/>
    <col min="6914" max="6916" width="10.73046875" style="8" customWidth="1"/>
    <col min="6917" max="7168" width="9" style="8"/>
    <col min="7169" max="7169" width="18.73046875" style="8" customWidth="1"/>
    <col min="7170" max="7172" width="10.73046875" style="8" customWidth="1"/>
    <col min="7173" max="7424" width="9" style="8"/>
    <col min="7425" max="7425" width="18.73046875" style="8" customWidth="1"/>
    <col min="7426" max="7428" width="10.73046875" style="8" customWidth="1"/>
    <col min="7429" max="7680" width="9" style="8"/>
    <col min="7681" max="7681" width="18.73046875" style="8" customWidth="1"/>
    <col min="7682" max="7684" width="10.73046875" style="8" customWidth="1"/>
    <col min="7685" max="7936" width="9" style="8"/>
    <col min="7937" max="7937" width="18.73046875" style="8" customWidth="1"/>
    <col min="7938" max="7940" width="10.73046875" style="8" customWidth="1"/>
    <col min="7941" max="8192" width="9" style="8"/>
    <col min="8193" max="8193" width="18.73046875" style="8" customWidth="1"/>
    <col min="8194" max="8196" width="10.73046875" style="8" customWidth="1"/>
    <col min="8197" max="8448" width="9" style="8"/>
    <col min="8449" max="8449" width="18.73046875" style="8" customWidth="1"/>
    <col min="8450" max="8452" width="10.73046875" style="8" customWidth="1"/>
    <col min="8453" max="8704" width="9" style="8"/>
    <col min="8705" max="8705" width="18.73046875" style="8" customWidth="1"/>
    <col min="8706" max="8708" width="10.73046875" style="8" customWidth="1"/>
    <col min="8709" max="8960" width="9" style="8"/>
    <col min="8961" max="8961" width="18.73046875" style="8" customWidth="1"/>
    <col min="8962" max="8964" width="10.73046875" style="8" customWidth="1"/>
    <col min="8965" max="9216" width="9" style="8"/>
    <col min="9217" max="9217" width="18.73046875" style="8" customWidth="1"/>
    <col min="9218" max="9220" width="10.73046875" style="8" customWidth="1"/>
    <col min="9221" max="9472" width="9" style="8"/>
    <col min="9473" max="9473" width="18.73046875" style="8" customWidth="1"/>
    <col min="9474" max="9476" width="10.73046875" style="8" customWidth="1"/>
    <col min="9477" max="9728" width="9" style="8"/>
    <col min="9729" max="9729" width="18.73046875" style="8" customWidth="1"/>
    <col min="9730" max="9732" width="10.73046875" style="8" customWidth="1"/>
    <col min="9733" max="9984" width="9" style="8"/>
    <col min="9985" max="9985" width="18.73046875" style="8" customWidth="1"/>
    <col min="9986" max="9988" width="10.73046875" style="8" customWidth="1"/>
    <col min="9989" max="10240" width="9" style="8"/>
    <col min="10241" max="10241" width="18.73046875" style="8" customWidth="1"/>
    <col min="10242" max="10244" width="10.73046875" style="8" customWidth="1"/>
    <col min="10245" max="10496" width="9" style="8"/>
    <col min="10497" max="10497" width="18.73046875" style="8" customWidth="1"/>
    <col min="10498" max="10500" width="10.73046875" style="8" customWidth="1"/>
    <col min="10501" max="10752" width="9" style="8"/>
    <col min="10753" max="10753" width="18.73046875" style="8" customWidth="1"/>
    <col min="10754" max="10756" width="10.73046875" style="8" customWidth="1"/>
    <col min="10757" max="11008" width="9" style="8"/>
    <col min="11009" max="11009" width="18.73046875" style="8" customWidth="1"/>
    <col min="11010" max="11012" width="10.73046875" style="8" customWidth="1"/>
    <col min="11013" max="11264" width="9" style="8"/>
    <col min="11265" max="11265" width="18.73046875" style="8" customWidth="1"/>
    <col min="11266" max="11268" width="10.73046875" style="8" customWidth="1"/>
    <col min="11269" max="11520" width="9" style="8"/>
    <col min="11521" max="11521" width="18.73046875" style="8" customWidth="1"/>
    <col min="11522" max="11524" width="10.73046875" style="8" customWidth="1"/>
    <col min="11525" max="11776" width="9" style="8"/>
    <col min="11777" max="11777" width="18.73046875" style="8" customWidth="1"/>
    <col min="11778" max="11780" width="10.73046875" style="8" customWidth="1"/>
    <col min="11781" max="12032" width="9" style="8"/>
    <col min="12033" max="12033" width="18.73046875" style="8" customWidth="1"/>
    <col min="12034" max="12036" width="10.73046875" style="8" customWidth="1"/>
    <col min="12037" max="12288" width="9" style="8"/>
    <col min="12289" max="12289" width="18.73046875" style="8" customWidth="1"/>
    <col min="12290" max="12292" width="10.73046875" style="8" customWidth="1"/>
    <col min="12293" max="12544" width="9" style="8"/>
    <col min="12545" max="12545" width="18.73046875" style="8" customWidth="1"/>
    <col min="12546" max="12548" width="10.73046875" style="8" customWidth="1"/>
    <col min="12549" max="12800" width="9" style="8"/>
    <col min="12801" max="12801" width="18.73046875" style="8" customWidth="1"/>
    <col min="12802" max="12804" width="10.73046875" style="8" customWidth="1"/>
    <col min="12805" max="13056" width="9" style="8"/>
    <col min="13057" max="13057" width="18.73046875" style="8" customWidth="1"/>
    <col min="13058" max="13060" width="10.73046875" style="8" customWidth="1"/>
    <col min="13061" max="13312" width="9" style="8"/>
    <col min="13313" max="13313" width="18.73046875" style="8" customWidth="1"/>
    <col min="13314" max="13316" width="10.73046875" style="8" customWidth="1"/>
    <col min="13317" max="13568" width="9" style="8"/>
    <col min="13569" max="13569" width="18.73046875" style="8" customWidth="1"/>
    <col min="13570" max="13572" width="10.73046875" style="8" customWidth="1"/>
    <col min="13573" max="13824" width="9" style="8"/>
    <col min="13825" max="13825" width="18.73046875" style="8" customWidth="1"/>
    <col min="13826" max="13828" width="10.73046875" style="8" customWidth="1"/>
    <col min="13829" max="14080" width="9" style="8"/>
    <col min="14081" max="14081" width="18.73046875" style="8" customWidth="1"/>
    <col min="14082" max="14084" width="10.73046875" style="8" customWidth="1"/>
    <col min="14085" max="14336" width="9" style="8"/>
    <col min="14337" max="14337" width="18.73046875" style="8" customWidth="1"/>
    <col min="14338" max="14340" width="10.73046875" style="8" customWidth="1"/>
    <col min="14341" max="14592" width="9" style="8"/>
    <col min="14593" max="14593" width="18.73046875" style="8" customWidth="1"/>
    <col min="14594" max="14596" width="10.73046875" style="8" customWidth="1"/>
    <col min="14597" max="14848" width="9" style="8"/>
    <col min="14849" max="14849" width="18.73046875" style="8" customWidth="1"/>
    <col min="14850" max="14852" width="10.73046875" style="8" customWidth="1"/>
    <col min="14853" max="15104" width="9" style="8"/>
    <col min="15105" max="15105" width="18.73046875" style="8" customWidth="1"/>
    <col min="15106" max="15108" width="10.73046875" style="8" customWidth="1"/>
    <col min="15109" max="15360" width="9" style="8"/>
    <col min="15361" max="15361" width="18.73046875" style="8" customWidth="1"/>
    <col min="15362" max="15364" width="10.73046875" style="8" customWidth="1"/>
    <col min="15365" max="15616" width="9" style="8"/>
    <col min="15617" max="15617" width="18.73046875" style="8" customWidth="1"/>
    <col min="15618" max="15620" width="10.73046875" style="8" customWidth="1"/>
    <col min="15621" max="15872" width="9" style="8"/>
    <col min="15873" max="15873" width="18.73046875" style="8" customWidth="1"/>
    <col min="15874" max="15876" width="10.73046875" style="8" customWidth="1"/>
    <col min="15877" max="16128" width="9" style="8"/>
    <col min="16129" max="16129" width="18.73046875" style="8" customWidth="1"/>
    <col min="16130" max="16132" width="10.73046875" style="8" customWidth="1"/>
    <col min="16133" max="16384" width="9" style="8"/>
  </cols>
  <sheetData>
    <row r="1" spans="1:14" x14ac:dyDescent="0.45">
      <c r="A1" s="7" t="s">
        <v>12</v>
      </c>
    </row>
    <row r="3" spans="1:14" x14ac:dyDescent="0.45">
      <c r="A3" s="7" t="s">
        <v>13</v>
      </c>
      <c r="K3" s="7" t="s">
        <v>14</v>
      </c>
    </row>
    <row r="5" spans="1:14" ht="16.149999999999999" thickBot="1" x14ac:dyDescent="0.5">
      <c r="B5" s="9" t="s">
        <v>72</v>
      </c>
      <c r="G5" s="9" t="s">
        <v>15</v>
      </c>
      <c r="H5" s="9" t="s">
        <v>35</v>
      </c>
      <c r="I5" s="9" t="s">
        <v>169</v>
      </c>
      <c r="K5" s="9" t="s">
        <v>15</v>
      </c>
      <c r="L5" s="9" t="s">
        <v>72</v>
      </c>
      <c r="M5" s="9" t="s">
        <v>16</v>
      </c>
      <c r="N5" s="9" t="s">
        <v>17</v>
      </c>
    </row>
    <row r="6" spans="1:14" x14ac:dyDescent="0.45">
      <c r="A6" s="8" t="s">
        <v>18</v>
      </c>
      <c r="B6" s="6">
        <v>48</v>
      </c>
      <c r="G6" s="9"/>
      <c r="H6" s="104"/>
      <c r="I6" s="91" t="str">
        <f t="shared" ref="I6:I10" si="0">IF(H6="","",I7+H6)</f>
        <v/>
      </c>
      <c r="K6" s="94"/>
      <c r="L6" s="10"/>
      <c r="M6" s="10"/>
      <c r="N6" s="99"/>
    </row>
    <row r="7" spans="1:14" x14ac:dyDescent="0.45">
      <c r="A7" s="8" t="s">
        <v>20</v>
      </c>
      <c r="B7" s="6">
        <v>331.9</v>
      </c>
      <c r="H7" s="105"/>
      <c r="I7" s="92" t="str">
        <f t="shared" si="0"/>
        <v/>
      </c>
      <c r="K7" s="95"/>
      <c r="N7" s="100"/>
    </row>
    <row r="8" spans="1:14" x14ac:dyDescent="0.45">
      <c r="B8" s="12">
        <f>SUM(B6:B7)</f>
        <v>379.9</v>
      </c>
      <c r="G8" s="9">
        <v>5</v>
      </c>
      <c r="H8" s="106">
        <v>3.2</v>
      </c>
      <c r="I8" s="92">
        <f t="shared" si="0"/>
        <v>16.399999999999999</v>
      </c>
      <c r="K8" s="96" t="s">
        <v>19</v>
      </c>
      <c r="L8" s="10">
        <f>B11</f>
        <v>379.9</v>
      </c>
      <c r="M8" s="10">
        <f>C11</f>
        <v>9</v>
      </c>
      <c r="N8" s="101">
        <f>ROUND(L8*M8,0)</f>
        <v>3419</v>
      </c>
    </row>
    <row r="9" spans="1:14" x14ac:dyDescent="0.45">
      <c r="G9" s="9">
        <v>4</v>
      </c>
      <c r="H9" s="106">
        <v>3.2</v>
      </c>
      <c r="I9" s="92">
        <f t="shared" si="0"/>
        <v>13.2</v>
      </c>
      <c r="K9" s="96">
        <v>4</v>
      </c>
      <c r="L9" s="10">
        <f>B12</f>
        <v>323.5</v>
      </c>
      <c r="M9" s="10">
        <f>C12</f>
        <v>10</v>
      </c>
      <c r="N9" s="101">
        <f t="shared" ref="N9:N12" si="1">ROUND(L9*M9,0)</f>
        <v>3235</v>
      </c>
    </row>
    <row r="10" spans="1:14" x14ac:dyDescent="0.45">
      <c r="B10" s="9" t="s">
        <v>73</v>
      </c>
      <c r="C10" s="8" t="s">
        <v>21</v>
      </c>
      <c r="D10" s="9" t="s">
        <v>22</v>
      </c>
      <c r="G10" s="9">
        <v>3</v>
      </c>
      <c r="H10" s="106">
        <v>3.2</v>
      </c>
      <c r="I10" s="92">
        <f t="shared" si="0"/>
        <v>10</v>
      </c>
      <c r="K10" s="96">
        <v>3</v>
      </c>
      <c r="L10" s="10">
        <f>L9</f>
        <v>323.5</v>
      </c>
      <c r="M10" s="10">
        <f>M9</f>
        <v>10</v>
      </c>
      <c r="N10" s="101">
        <f t="shared" si="1"/>
        <v>3235</v>
      </c>
    </row>
    <row r="11" spans="1:14" x14ac:dyDescent="0.45">
      <c r="A11" s="8" t="s">
        <v>23</v>
      </c>
      <c r="B11" s="10">
        <f>B6+B7</f>
        <v>379.9</v>
      </c>
      <c r="C11" s="6">
        <v>9</v>
      </c>
      <c r="D11" s="11">
        <f>ROUND(B11*C11,0)</f>
        <v>3419</v>
      </c>
      <c r="E11" s="8" t="s">
        <v>8</v>
      </c>
      <c r="G11" s="9">
        <v>2</v>
      </c>
      <c r="H11" s="106">
        <v>3.2</v>
      </c>
      <c r="I11" s="92">
        <f>IF(H11="","",I12+H11)</f>
        <v>6.8000000000000007</v>
      </c>
      <c r="K11" s="96">
        <v>2</v>
      </c>
      <c r="L11" s="10">
        <f>L10</f>
        <v>323.5</v>
      </c>
      <c r="M11" s="10">
        <f>M10</f>
        <v>10</v>
      </c>
      <c r="N11" s="101">
        <f t="shared" si="1"/>
        <v>3235</v>
      </c>
    </row>
    <row r="12" spans="1:14" ht="14.65" thickBot="1" x14ac:dyDescent="0.5">
      <c r="A12" s="8" t="s">
        <v>24</v>
      </c>
      <c r="B12" s="6">
        <v>323.5</v>
      </c>
      <c r="C12" s="6">
        <v>10</v>
      </c>
      <c r="D12" s="11">
        <f>ROUND(B12*C12,0)</f>
        <v>3235</v>
      </c>
      <c r="E12" s="8" t="s">
        <v>8</v>
      </c>
      <c r="G12" s="9">
        <v>1</v>
      </c>
      <c r="H12" s="107">
        <v>3.6</v>
      </c>
      <c r="I12" s="93">
        <f>H12</f>
        <v>3.6</v>
      </c>
      <c r="K12" s="97">
        <v>1</v>
      </c>
      <c r="L12" s="10">
        <f>B13</f>
        <v>263.2</v>
      </c>
      <c r="M12" s="10">
        <f>M11</f>
        <v>10</v>
      </c>
      <c r="N12" s="102">
        <f t="shared" si="1"/>
        <v>2632</v>
      </c>
    </row>
    <row r="13" spans="1:14" x14ac:dyDescent="0.45">
      <c r="A13" s="8" t="s">
        <v>26</v>
      </c>
      <c r="B13" s="6">
        <v>263.2</v>
      </c>
      <c r="C13" s="6">
        <v>10</v>
      </c>
      <c r="D13" s="11">
        <f>ROUND(B13*C13,0)</f>
        <v>2632</v>
      </c>
      <c r="E13" s="8" t="s">
        <v>8</v>
      </c>
      <c r="I13" s="9"/>
      <c r="K13" s="9" t="s">
        <v>25</v>
      </c>
      <c r="L13" s="10"/>
      <c r="N13" s="98">
        <f>SUM(N6:N12)</f>
        <v>15756</v>
      </c>
    </row>
    <row r="16" spans="1:14" x14ac:dyDescent="0.45">
      <c r="I16" s="103" t="s">
        <v>184</v>
      </c>
    </row>
    <row r="17" spans="9:9" x14ac:dyDescent="0.45">
      <c r="I17" s="103" t="s">
        <v>185</v>
      </c>
    </row>
    <row r="18" spans="9:9" x14ac:dyDescent="0.45">
      <c r="I18" s="108" t="s">
        <v>186</v>
      </c>
    </row>
    <row r="19" spans="9:9" x14ac:dyDescent="0.45">
      <c r="I19" s="108" t="s">
        <v>187</v>
      </c>
    </row>
  </sheetData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3"/>
  <sheetViews>
    <sheetView workbookViewId="0">
      <selection activeCell="B3" sqref="B3:E3"/>
    </sheetView>
  </sheetViews>
  <sheetFormatPr defaultColWidth="9.1328125" defaultRowHeight="13.5" x14ac:dyDescent="0.45"/>
  <cols>
    <col min="1" max="1" width="23.59765625" style="23" bestFit="1" customWidth="1"/>
    <col min="2" max="16" width="9.1328125" style="19"/>
    <col min="17" max="17" width="6.59765625" style="20" customWidth="1"/>
    <col min="18" max="18" width="6.59765625" style="21" customWidth="1"/>
    <col min="19" max="19" width="6.59765625" style="22" customWidth="1"/>
    <col min="20" max="20" width="6.59765625" style="21" customWidth="1"/>
    <col min="21" max="21" width="6.59765625" style="22" customWidth="1"/>
    <col min="22" max="22" width="6.59765625" style="21" customWidth="1"/>
    <col min="23" max="23" width="6.59765625" style="22" customWidth="1"/>
    <col min="24" max="24" width="6.59765625" style="21" customWidth="1"/>
    <col min="25" max="27" width="6.59765625" style="22" customWidth="1"/>
    <col min="28" max="28" width="6.59765625" style="21" customWidth="1"/>
    <col min="29" max="29" width="6.59765625" style="22" customWidth="1"/>
    <col min="30" max="16384" width="9.1328125" style="19"/>
  </cols>
  <sheetData>
    <row r="1" spans="1:37" ht="15" customHeight="1" x14ac:dyDescent="0.45">
      <c r="A1" s="18" t="s">
        <v>36</v>
      </c>
    </row>
    <row r="2" spans="1:37" ht="15" customHeight="1" x14ac:dyDescent="0.45">
      <c r="Z2" s="21" t="s">
        <v>37</v>
      </c>
      <c r="AB2" s="21" t="s">
        <v>37</v>
      </c>
    </row>
    <row r="3" spans="1:37" ht="15" customHeight="1" x14ac:dyDescent="0.45">
      <c r="A3" s="24" t="s">
        <v>38</v>
      </c>
      <c r="B3" s="142" t="s">
        <v>39</v>
      </c>
      <c r="C3" s="143"/>
      <c r="D3" s="143"/>
      <c r="E3" s="143"/>
      <c r="R3" s="22" t="s">
        <v>41</v>
      </c>
      <c r="T3" s="22" t="s">
        <v>31</v>
      </c>
      <c r="V3" s="22" t="s">
        <v>29</v>
      </c>
      <c r="X3" s="22" t="s">
        <v>42</v>
      </c>
      <c r="Z3" s="22" t="s">
        <v>31</v>
      </c>
      <c r="AB3" s="22" t="s">
        <v>29</v>
      </c>
      <c r="AE3" s="59" t="s">
        <v>40</v>
      </c>
      <c r="AF3" s="59"/>
      <c r="AG3" s="59"/>
      <c r="AH3" s="59"/>
      <c r="AI3" s="59"/>
    </row>
    <row r="4" spans="1:37" ht="15" customHeight="1" x14ac:dyDescent="0.45">
      <c r="A4" s="24"/>
      <c r="B4" s="25"/>
      <c r="C4" s="25"/>
      <c r="D4" s="25"/>
      <c r="E4" s="25"/>
      <c r="P4" s="23"/>
      <c r="R4" s="22" t="s">
        <v>43</v>
      </c>
      <c r="S4" s="22" t="s">
        <v>44</v>
      </c>
      <c r="T4" s="22" t="s">
        <v>43</v>
      </c>
      <c r="U4" s="22" t="s">
        <v>44</v>
      </c>
      <c r="V4" s="22" t="s">
        <v>43</v>
      </c>
      <c r="W4" s="22" t="s">
        <v>44</v>
      </c>
      <c r="X4" s="22" t="s">
        <v>43</v>
      </c>
      <c r="Y4" s="22" t="s">
        <v>44</v>
      </c>
      <c r="Z4" s="22" t="s">
        <v>43</v>
      </c>
      <c r="AA4" s="22" t="s">
        <v>167</v>
      </c>
      <c r="AB4" s="22" t="s">
        <v>43</v>
      </c>
      <c r="AC4" s="22" t="s">
        <v>167</v>
      </c>
      <c r="AE4" s="60" t="s">
        <v>152</v>
      </c>
      <c r="AF4" s="60">
        <f>IF(B14="A",1,IF(B14="B",1.4,IF(B14="C",1.7,IF(B14="D",2.4,2))))</f>
        <v>1.7</v>
      </c>
      <c r="AG4" s="60">
        <f>IF(B14="A",0,IF(B14="B",0.4,IF(B14="C",0.6,IF(B14="D",1.5,1.1))))</f>
        <v>0.6</v>
      </c>
      <c r="AH4" s="60">
        <f>IF(B14="A",1,IF(B14="B",1,IF(B14="C",1,IF(B14="D",0.9,1))))</f>
        <v>1</v>
      </c>
      <c r="AI4" s="60">
        <f>IF(B14="A",1,IF(B14="B",1.2,IF(B14="C",1.5,IF(B14="D",1.8,1.6))))</f>
        <v>1.5</v>
      </c>
      <c r="AJ4" s="23"/>
      <c r="AK4" s="23"/>
    </row>
    <row r="5" spans="1:37" ht="15" customHeight="1" x14ac:dyDescent="0.45">
      <c r="A5" s="23" t="s">
        <v>45</v>
      </c>
      <c r="Q5" s="27">
        <v>0</v>
      </c>
      <c r="R5" s="28">
        <v>0</v>
      </c>
      <c r="S5" s="29">
        <f>C17</f>
        <v>9.1499999999999998E-2</v>
      </c>
      <c r="T5" s="28">
        <v>0</v>
      </c>
      <c r="U5" s="29">
        <f>C18</f>
        <v>0.123</v>
      </c>
      <c r="V5" s="28">
        <v>0</v>
      </c>
      <c r="W5" s="29">
        <f>C19</f>
        <v>0.33462500000000001</v>
      </c>
      <c r="X5" s="28">
        <v>0</v>
      </c>
      <c r="Y5" s="29">
        <f>C20</f>
        <v>0.40771089300000007</v>
      </c>
      <c r="Z5" s="29">
        <f>T5</f>
        <v>0</v>
      </c>
      <c r="AA5" s="29">
        <f>U5</f>
        <v>0.123</v>
      </c>
      <c r="AB5" s="28">
        <f>IF($B$29="",-1,V5)</f>
        <v>0</v>
      </c>
      <c r="AC5" s="28">
        <f>W5</f>
        <v>0.33462500000000001</v>
      </c>
      <c r="AE5" s="60" t="s">
        <v>153</v>
      </c>
      <c r="AF5" s="60">
        <f>IF(B14="A",1,IF(B14="B",1.1,IF(B14="C",1.05,IF(B14="D",1.25,1.15))))</f>
        <v>1.05</v>
      </c>
      <c r="AG5" s="60">
        <f>IF(B14="A",0,IF(B14="B",0.2,IF(B14="C",0.33,IF(B14="D",0.5,0.4))))</f>
        <v>0.33</v>
      </c>
      <c r="AH5" s="59"/>
      <c r="AI5" s="59"/>
    </row>
    <row r="6" spans="1:37" ht="15" customHeight="1" x14ac:dyDescent="0.45">
      <c r="A6" s="24" t="s">
        <v>46</v>
      </c>
      <c r="B6" s="24" t="s">
        <v>47</v>
      </c>
      <c r="C6" s="24" t="s">
        <v>48</v>
      </c>
      <c r="D6" s="24" t="s">
        <v>49</v>
      </c>
      <c r="E6" s="24" t="s">
        <v>50</v>
      </c>
      <c r="N6" s="23">
        <v>0</v>
      </c>
      <c r="O6" s="30">
        <f>MAX(1,G20)</f>
        <v>1</v>
      </c>
      <c r="Q6" s="29" t="s">
        <v>52</v>
      </c>
      <c r="R6" s="28">
        <f>D17</f>
        <v>0.14916396716852898</v>
      </c>
      <c r="S6" s="29">
        <f>G17</f>
        <v>0.21593999999999999</v>
      </c>
      <c r="T6" s="28">
        <f>D18</f>
        <v>0.15341737754593213</v>
      </c>
      <c r="U6" s="29">
        <f>G18</f>
        <v>0.28486799999999995</v>
      </c>
      <c r="V6" s="28">
        <f>D19</f>
        <v>0.17651869980007165</v>
      </c>
      <c r="W6" s="29">
        <f>G19</f>
        <v>0.80644625000000003</v>
      </c>
      <c r="X6" s="28">
        <f>D20</f>
        <v>0.18399720371942338</v>
      </c>
      <c r="Y6" s="29">
        <f>G20</f>
        <v>0.99685313338500015</v>
      </c>
      <c r="Z6" s="29">
        <f t="shared" ref="Z6:Z52" si="0">T6</f>
        <v>0.15341737754593213</v>
      </c>
      <c r="AA6" s="29">
        <f>U6/1.5</f>
        <v>0.18991199999999997</v>
      </c>
      <c r="AB6" s="28">
        <f t="shared" ref="AB6:AB52" si="1">IF($B$29="",-1,V6)</f>
        <v>0.17651869980007165</v>
      </c>
      <c r="AC6" s="28">
        <f t="shared" ref="AC6:AC52" si="2">MAX(W6/$AF$6/$B$29,0.2*$C$19)</f>
        <v>0.13785405982905985</v>
      </c>
      <c r="AE6" s="61" t="s">
        <v>51</v>
      </c>
      <c r="AF6" s="62">
        <f>MAX(SQRT(10/(5+B13*100)),0.55)</f>
        <v>1</v>
      </c>
      <c r="AG6" s="59"/>
      <c r="AH6" s="59"/>
      <c r="AI6" s="59"/>
    </row>
    <row r="7" spans="1:37" ht="15" customHeight="1" x14ac:dyDescent="0.45">
      <c r="A7" s="24" t="s">
        <v>41</v>
      </c>
      <c r="B7" s="31">
        <v>30</v>
      </c>
      <c r="C7" s="32">
        <v>6.0999999999999999E-2</v>
      </c>
      <c r="D7" s="32">
        <v>2.36</v>
      </c>
      <c r="E7" s="32">
        <v>0.28000000000000003</v>
      </c>
      <c r="Q7" s="29" t="s">
        <v>53</v>
      </c>
      <c r="R7" s="28">
        <f>E17</f>
        <v>0.44749190150558693</v>
      </c>
      <c r="S7" s="29">
        <f>S6</f>
        <v>0.21593999999999999</v>
      </c>
      <c r="T7" s="28">
        <f>E18</f>
        <v>0.46025213263779635</v>
      </c>
      <c r="U7" s="29">
        <f>U6</f>
        <v>0.28486799999999995</v>
      </c>
      <c r="V7" s="28">
        <f>E19</f>
        <v>0.52955609940021497</v>
      </c>
      <c r="W7" s="29">
        <f>W6</f>
        <v>0.80644625000000003</v>
      </c>
      <c r="X7" s="28">
        <f>E20</f>
        <v>0.55199161115827011</v>
      </c>
      <c r="Y7" s="29">
        <f>Y6</f>
        <v>0.99685313338500015</v>
      </c>
      <c r="Z7" s="29">
        <f t="shared" si="0"/>
        <v>0.46025213263779635</v>
      </c>
      <c r="AA7" s="29">
        <f t="shared" ref="AA7:AA52" si="3">U7/1.5</f>
        <v>0.18991199999999997</v>
      </c>
      <c r="AB7" s="28">
        <f t="shared" si="1"/>
        <v>0.52955609940021497</v>
      </c>
      <c r="AC7" s="28">
        <f t="shared" si="2"/>
        <v>0.13785405982905985</v>
      </c>
      <c r="AE7" s="59" t="str">
        <f>CONCATENATE(B3," - spettri elastici")</f>
        <v>Piazza Cairoli, Messina - spettri elastici</v>
      </c>
      <c r="AF7" s="59"/>
      <c r="AG7" s="59"/>
      <c r="AH7" s="59"/>
      <c r="AI7" s="59"/>
    </row>
    <row r="8" spans="1:37" ht="15" customHeight="1" x14ac:dyDescent="0.45">
      <c r="A8" s="24" t="s">
        <v>31</v>
      </c>
      <c r="B8" s="31">
        <v>50</v>
      </c>
      <c r="C8" s="32">
        <v>8.2000000000000003E-2</v>
      </c>
      <c r="D8" s="32">
        <v>2.3159999999999998</v>
      </c>
      <c r="E8" s="32">
        <v>0.29199999999999998</v>
      </c>
      <c r="Q8" s="29"/>
      <c r="R8" s="28">
        <f t="shared" ref="R8:R36" si="4">R$7+(R$37-R$7)*(ROW(R8)-ROW(R$7))/30</f>
        <v>0.49404217145540069</v>
      </c>
      <c r="S8" s="29">
        <f>S$7*R$7/R8</f>
        <v>0.19559342662277115</v>
      </c>
      <c r="T8" s="28">
        <f t="shared" ref="T8:T36" si="5">T$7+(T$37-T$7)*(ROW(T8)-ROW(T$7))/30</f>
        <v>0.50917706154986986</v>
      </c>
      <c r="U8" s="29">
        <f>U$7*T$7/T8</f>
        <v>0.25749609403294471</v>
      </c>
      <c r="V8" s="28">
        <f t="shared" ref="V8:V36" si="6">V$7+(V$37-V$7)*(ROW(V8)-ROW(V$7))/30</f>
        <v>0.59857089608687453</v>
      </c>
      <c r="W8" s="29">
        <f>W$7*V$7/V8</f>
        <v>0.71346357351786249</v>
      </c>
      <c r="X8" s="28">
        <f t="shared" ref="X8:X36" si="7">X$7+(X$37-X$7)*(ROW(X8)-ROW(X$7))/30</f>
        <v>0.6321252241196611</v>
      </c>
      <c r="Y8" s="29">
        <f>Y$7*X$7/X8</f>
        <v>0.87048348363518735</v>
      </c>
      <c r="Z8" s="29">
        <f t="shared" si="0"/>
        <v>0.50917706154986986</v>
      </c>
      <c r="AA8" s="29">
        <f t="shared" si="3"/>
        <v>0.1716640626886298</v>
      </c>
      <c r="AB8" s="28">
        <f t="shared" si="1"/>
        <v>0.59857089608687453</v>
      </c>
      <c r="AC8" s="28">
        <f t="shared" si="2"/>
        <v>0.12195958521672864</v>
      </c>
    </row>
    <row r="9" spans="1:37" ht="15" customHeight="1" x14ac:dyDescent="0.45">
      <c r="A9" s="24" t="s">
        <v>29</v>
      </c>
      <c r="B9" s="31">
        <v>475</v>
      </c>
      <c r="C9" s="32">
        <v>0.25</v>
      </c>
      <c r="D9" s="32">
        <v>2.41</v>
      </c>
      <c r="E9" s="32">
        <v>0.36</v>
      </c>
      <c r="Q9" s="29"/>
      <c r="R9" s="28">
        <f t="shared" si="4"/>
        <v>0.54059244140521445</v>
      </c>
      <c r="S9" s="29">
        <f t="shared" ref="S9:U37" si="8">S$7*R$7/R9</f>
        <v>0.17875092918416144</v>
      </c>
      <c r="T9" s="28">
        <f t="shared" si="5"/>
        <v>0.55810199046194331</v>
      </c>
      <c r="U9" s="29">
        <f t="shared" si="8"/>
        <v>0.23492319819849156</v>
      </c>
      <c r="V9" s="28">
        <f t="shared" si="6"/>
        <v>0.66758569277353397</v>
      </c>
      <c r="W9" s="29">
        <f t="shared" ref="W9:W37" si="9">W$7*V$7/V9</f>
        <v>0.63970593610489834</v>
      </c>
      <c r="X9" s="28">
        <f t="shared" si="7"/>
        <v>0.71225883708105209</v>
      </c>
      <c r="Y9" s="29">
        <f t="shared" ref="Y9:Y37" si="10">Y$7*X$7/X9</f>
        <v>0.7725485996641126</v>
      </c>
      <c r="Z9" s="29">
        <f t="shared" si="0"/>
        <v>0.55810199046194331</v>
      </c>
      <c r="AA9" s="29">
        <f t="shared" si="3"/>
        <v>0.15661546546566105</v>
      </c>
      <c r="AB9" s="28">
        <f t="shared" si="1"/>
        <v>0.66758569277353397</v>
      </c>
      <c r="AC9" s="28">
        <f t="shared" si="2"/>
        <v>0.10935144206921339</v>
      </c>
    </row>
    <row r="10" spans="1:37" ht="15" customHeight="1" x14ac:dyDescent="0.45">
      <c r="A10" s="24" t="s">
        <v>42</v>
      </c>
      <c r="B10" s="31">
        <v>975</v>
      </c>
      <c r="C10" s="32">
        <v>0.33900000000000002</v>
      </c>
      <c r="D10" s="32">
        <v>2.4449999999999998</v>
      </c>
      <c r="E10" s="32">
        <v>0.38300000000000001</v>
      </c>
      <c r="Q10" s="29"/>
      <c r="R10" s="28">
        <f t="shared" si="4"/>
        <v>0.58714271135502827</v>
      </c>
      <c r="S10" s="29">
        <f t="shared" si="8"/>
        <v>0.16457906969177416</v>
      </c>
      <c r="T10" s="28">
        <f t="shared" si="5"/>
        <v>0.60702691937401676</v>
      </c>
      <c r="U10" s="29">
        <f t="shared" si="8"/>
        <v>0.21598894601819177</v>
      </c>
      <c r="V10" s="28">
        <f t="shared" si="6"/>
        <v>0.73660048946019341</v>
      </c>
      <c r="W10" s="29">
        <f t="shared" si="9"/>
        <v>0.5797695448707807</v>
      </c>
      <c r="X10" s="28">
        <f t="shared" si="7"/>
        <v>0.79239245004244319</v>
      </c>
      <c r="Y10" s="29">
        <f t="shared" si="10"/>
        <v>0.69442176935921418</v>
      </c>
      <c r="Z10" s="29">
        <f t="shared" si="0"/>
        <v>0.60702691937401676</v>
      </c>
      <c r="AA10" s="29">
        <f t="shared" si="3"/>
        <v>0.1439926306787945</v>
      </c>
      <c r="AB10" s="28">
        <f t="shared" si="1"/>
        <v>0.73660048946019341</v>
      </c>
      <c r="AC10" s="28">
        <f t="shared" si="2"/>
        <v>9.910590510611636E-2</v>
      </c>
    </row>
    <row r="11" spans="1:37" ht="15" customHeight="1" x14ac:dyDescent="0.45">
      <c r="A11" s="24"/>
      <c r="B11" s="25"/>
      <c r="C11" s="25"/>
      <c r="D11" s="25"/>
      <c r="E11" s="25"/>
      <c r="Q11" s="29"/>
      <c r="R11" s="28">
        <f t="shared" si="4"/>
        <v>0.63369298130484197</v>
      </c>
      <c r="S11" s="29">
        <f t="shared" si="8"/>
        <v>0.15248930327765661</v>
      </c>
      <c r="T11" s="28">
        <f t="shared" si="5"/>
        <v>0.65595184828609021</v>
      </c>
      <c r="U11" s="29">
        <f t="shared" si="8"/>
        <v>0.1998791601286567</v>
      </c>
      <c r="V11" s="28">
        <f t="shared" si="6"/>
        <v>0.80561528614685296</v>
      </c>
      <c r="W11" s="29">
        <f t="shared" si="9"/>
        <v>0.53010231790473195</v>
      </c>
      <c r="X11" s="28">
        <f t="shared" si="7"/>
        <v>0.87252606300383417</v>
      </c>
      <c r="Y11" s="29">
        <f t="shared" si="10"/>
        <v>0.63064542197284268</v>
      </c>
      <c r="Z11" s="29">
        <f t="shared" si="0"/>
        <v>0.65595184828609021</v>
      </c>
      <c r="AA11" s="29">
        <f t="shared" si="3"/>
        <v>0.13325277341910446</v>
      </c>
      <c r="AB11" s="28">
        <f t="shared" si="1"/>
        <v>0.80561528614685296</v>
      </c>
      <c r="AC11" s="28">
        <f t="shared" si="2"/>
        <v>9.0615780838415719E-2</v>
      </c>
    </row>
    <row r="12" spans="1:37" ht="15" customHeight="1" x14ac:dyDescent="0.45">
      <c r="A12" s="24" t="s">
        <v>54</v>
      </c>
      <c r="B12" s="31" t="s">
        <v>30</v>
      </c>
      <c r="C12" s="25"/>
      <c r="D12" s="24" t="s">
        <v>154</v>
      </c>
      <c r="E12" s="33">
        <v>0</v>
      </c>
      <c r="Q12" s="29"/>
      <c r="R12" s="28">
        <f t="shared" si="4"/>
        <v>0.68024325125465579</v>
      </c>
      <c r="S12" s="29">
        <f t="shared" si="8"/>
        <v>0.14205418581204199</v>
      </c>
      <c r="T12" s="28">
        <f t="shared" si="5"/>
        <v>0.70487677719816366</v>
      </c>
      <c r="U12" s="29">
        <f t="shared" si="8"/>
        <v>0.18600570874447206</v>
      </c>
      <c r="V12" s="28">
        <f t="shared" si="6"/>
        <v>0.87463008283351251</v>
      </c>
      <c r="W12" s="29">
        <f t="shared" si="9"/>
        <v>0.48827331566552351</v>
      </c>
      <c r="X12" s="28">
        <f t="shared" si="7"/>
        <v>0.95265967596522527</v>
      </c>
      <c r="Y12" s="29">
        <f t="shared" si="10"/>
        <v>0.57759825577569845</v>
      </c>
      <c r="Z12" s="29">
        <f t="shared" si="0"/>
        <v>0.70487677719816366</v>
      </c>
      <c r="AA12" s="29">
        <f t="shared" si="3"/>
        <v>0.12400380582964804</v>
      </c>
      <c r="AB12" s="28">
        <f t="shared" si="1"/>
        <v>0.87463008283351251</v>
      </c>
      <c r="AC12" s="28">
        <f t="shared" si="2"/>
        <v>8.3465524045388637E-2</v>
      </c>
    </row>
    <row r="13" spans="1:37" ht="15" customHeight="1" x14ac:dyDescent="0.45">
      <c r="A13" s="23" t="s">
        <v>55</v>
      </c>
      <c r="B13" s="33">
        <v>0.05</v>
      </c>
      <c r="E13" s="63" t="str">
        <f>IF(OR(E12&lt;0,E12&gt;1),"errore","")</f>
        <v/>
      </c>
      <c r="Q13" s="29"/>
      <c r="R13" s="28">
        <f t="shared" si="4"/>
        <v>0.72679352120446961</v>
      </c>
      <c r="S13" s="29">
        <f t="shared" si="8"/>
        <v>0.13295578233963234</v>
      </c>
      <c r="T13" s="28">
        <f t="shared" si="5"/>
        <v>0.75380170611023711</v>
      </c>
      <c r="U13" s="29">
        <f t="shared" si="8"/>
        <v>0.17393314907288079</v>
      </c>
      <c r="V13" s="28">
        <f t="shared" si="6"/>
        <v>0.94364487952017195</v>
      </c>
      <c r="W13" s="29">
        <f t="shared" si="9"/>
        <v>0.45256275935400925</v>
      </c>
      <c r="X13" s="28">
        <f t="shared" si="7"/>
        <v>1.0327932889266163</v>
      </c>
      <c r="Y13" s="29">
        <f t="shared" si="10"/>
        <v>0.5327828647659365</v>
      </c>
      <c r="Z13" s="29">
        <f t="shared" si="0"/>
        <v>0.75380170611023711</v>
      </c>
      <c r="AA13" s="29">
        <f t="shared" si="3"/>
        <v>0.11595543271525387</v>
      </c>
      <c r="AB13" s="28">
        <f t="shared" si="1"/>
        <v>0.94364487952017195</v>
      </c>
      <c r="AC13" s="28">
        <f t="shared" si="2"/>
        <v>7.7361155445129795E-2</v>
      </c>
    </row>
    <row r="14" spans="1:37" ht="15" customHeight="1" x14ac:dyDescent="0.45">
      <c r="A14" s="23" t="s">
        <v>27</v>
      </c>
      <c r="B14" s="34" t="s">
        <v>28</v>
      </c>
      <c r="Q14" s="29"/>
      <c r="R14" s="28">
        <f t="shared" si="4"/>
        <v>0.77334379115428331</v>
      </c>
      <c r="S14" s="29">
        <f t="shared" si="8"/>
        <v>0.12495270837680821</v>
      </c>
      <c r="T14" s="28">
        <f t="shared" si="5"/>
        <v>0.80272663502231056</v>
      </c>
      <c r="U14" s="29">
        <f t="shared" si="8"/>
        <v>0.16333219654112974</v>
      </c>
      <c r="V14" s="28">
        <f t="shared" si="6"/>
        <v>1.0126596762068316</v>
      </c>
      <c r="W14" s="29">
        <f t="shared" si="9"/>
        <v>0.42171969572797097</v>
      </c>
      <c r="X14" s="28">
        <f t="shared" si="7"/>
        <v>1.1129269018880072</v>
      </c>
      <c r="Y14" s="29">
        <f t="shared" si="10"/>
        <v>0.4944211216854274</v>
      </c>
      <c r="Z14" s="29">
        <f t="shared" si="0"/>
        <v>0.80272663502231056</v>
      </c>
      <c r="AA14" s="29">
        <f t="shared" si="3"/>
        <v>0.10888813102741983</v>
      </c>
      <c r="AB14" s="28">
        <f t="shared" si="1"/>
        <v>1.0126596762068316</v>
      </c>
      <c r="AC14" s="28">
        <f t="shared" si="2"/>
        <v>7.2088836876576232E-2</v>
      </c>
    </row>
    <row r="15" spans="1:37" ht="15" customHeight="1" x14ac:dyDescent="0.45">
      <c r="Q15" s="29"/>
      <c r="R15" s="28">
        <f t="shared" si="4"/>
        <v>0.81989406110409713</v>
      </c>
      <c r="S15" s="29">
        <f t="shared" si="8"/>
        <v>0.11785839878019036</v>
      </c>
      <c r="T15" s="28">
        <f t="shared" si="5"/>
        <v>0.85165156393438401</v>
      </c>
      <c r="U15" s="29">
        <f t="shared" si="8"/>
        <v>0.1539492323768753</v>
      </c>
      <c r="V15" s="28">
        <f t="shared" si="6"/>
        <v>1.0816744728934911</v>
      </c>
      <c r="W15" s="29">
        <f t="shared" si="9"/>
        <v>0.39481243315610876</v>
      </c>
      <c r="X15" s="28">
        <f t="shared" si="7"/>
        <v>1.1930605148493982</v>
      </c>
      <c r="Y15" s="29">
        <f t="shared" si="10"/>
        <v>0.46121262110062838</v>
      </c>
      <c r="Z15" s="29">
        <f t="shared" si="0"/>
        <v>0.85165156393438401</v>
      </c>
      <c r="AA15" s="29">
        <f t="shared" si="3"/>
        <v>0.10263282158458353</v>
      </c>
      <c r="AB15" s="28">
        <f t="shared" si="1"/>
        <v>1.0816744728934911</v>
      </c>
      <c r="AC15" s="28">
        <f t="shared" si="2"/>
        <v>6.7489304813010048E-2</v>
      </c>
    </row>
    <row r="16" spans="1:37" ht="15" customHeight="1" x14ac:dyDescent="0.45">
      <c r="A16" s="23" t="s">
        <v>56</v>
      </c>
      <c r="B16" s="26" t="s">
        <v>57</v>
      </c>
      <c r="C16" s="23" t="s">
        <v>58</v>
      </c>
      <c r="D16" s="23" t="s">
        <v>59</v>
      </c>
      <c r="E16" s="23" t="s">
        <v>60</v>
      </c>
      <c r="F16" s="23" t="s">
        <v>61</v>
      </c>
      <c r="G16" s="23" t="s">
        <v>62</v>
      </c>
      <c r="Q16" s="29"/>
      <c r="R16" s="28">
        <f t="shared" si="4"/>
        <v>0.86644433105391094</v>
      </c>
      <c r="S16" s="29">
        <f t="shared" si="8"/>
        <v>0.11152638172792655</v>
      </c>
      <c r="T16" s="28">
        <f t="shared" si="5"/>
        <v>0.90057649284645747</v>
      </c>
      <c r="U16" s="29">
        <f t="shared" si="8"/>
        <v>0.14558575041844599</v>
      </c>
      <c r="V16" s="28">
        <f t="shared" si="6"/>
        <v>1.1506892695801505</v>
      </c>
      <c r="W16" s="29">
        <f t="shared" si="9"/>
        <v>0.37113279997974652</v>
      </c>
      <c r="X16" s="28">
        <f t="shared" si="7"/>
        <v>1.2731941278107892</v>
      </c>
      <c r="Y16" s="29">
        <f t="shared" si="10"/>
        <v>0.43218434264341038</v>
      </c>
      <c r="Z16" s="29">
        <f t="shared" si="0"/>
        <v>0.90057649284645747</v>
      </c>
      <c r="AA16" s="29">
        <f t="shared" si="3"/>
        <v>9.7057166945630657E-2</v>
      </c>
      <c r="AB16" s="28">
        <f t="shared" si="1"/>
        <v>1.1506892695801505</v>
      </c>
      <c r="AC16" s="28">
        <f t="shared" si="2"/>
        <v>6.6924999999999998E-2</v>
      </c>
    </row>
    <row r="17" spans="1:29" ht="15" customHeight="1" x14ac:dyDescent="0.45">
      <c r="A17" s="26" t="s">
        <v>41</v>
      </c>
      <c r="B17" s="35">
        <f>MAX($AH$4,MIN($AI$4,$AF$4-$AG$4*D7*C7))*IF($B$12="T1",1,IF($B$12="T4",1+0.4*$E$12,1+0.2*$E$12))</f>
        <v>1.5</v>
      </c>
      <c r="C17" s="35">
        <f>B17*C7</f>
        <v>9.1499999999999998E-2</v>
      </c>
      <c r="D17" s="35">
        <f>E17/3</f>
        <v>0.14916396716852898</v>
      </c>
      <c r="E17" s="35">
        <f>$AF$5*E7^(-$AG$5)*E7</f>
        <v>0.44749190150558693</v>
      </c>
      <c r="F17" s="35">
        <f>4*C7+1.6</f>
        <v>1.8440000000000001</v>
      </c>
      <c r="G17" s="35">
        <f>C17*D7*$AF$6</f>
        <v>0.21593999999999999</v>
      </c>
      <c r="Q17" s="29"/>
      <c r="R17" s="28">
        <f t="shared" si="4"/>
        <v>0.91299460100372465</v>
      </c>
      <c r="S17" s="29">
        <f t="shared" si="8"/>
        <v>0.10584005765738611</v>
      </c>
      <c r="T17" s="28">
        <f t="shared" si="5"/>
        <v>0.94950142175853092</v>
      </c>
      <c r="U17" s="29">
        <f t="shared" si="8"/>
        <v>0.13808415818634426</v>
      </c>
      <c r="V17" s="28">
        <f t="shared" si="6"/>
        <v>1.2197040662668099</v>
      </c>
      <c r="W17" s="29">
        <f t="shared" si="9"/>
        <v>0.3501329071018377</v>
      </c>
      <c r="X17" s="28">
        <f t="shared" si="7"/>
        <v>1.3533277407721802</v>
      </c>
      <c r="Y17" s="29">
        <f t="shared" si="10"/>
        <v>0.40659372494011875</v>
      </c>
      <c r="Z17" s="29">
        <f t="shared" si="0"/>
        <v>0.94950142175853092</v>
      </c>
      <c r="AA17" s="29">
        <f t="shared" si="3"/>
        <v>9.2056105457562834E-2</v>
      </c>
      <c r="AB17" s="28">
        <f t="shared" si="1"/>
        <v>1.2197040662668099</v>
      </c>
      <c r="AC17" s="28">
        <f t="shared" si="2"/>
        <v>6.6924999999999998E-2</v>
      </c>
    </row>
    <row r="18" spans="1:29" ht="15" customHeight="1" x14ac:dyDescent="0.45">
      <c r="A18" s="36" t="s">
        <v>31</v>
      </c>
      <c r="B18" s="35">
        <f>MAX($AH$4,MIN($AI$4,$AF$4-$AG$4*D8*C8))*IF($B$12="T1",1,IF($B$12="T4",1+0.4*$E$12,1+0.2*$E$12))</f>
        <v>1.5</v>
      </c>
      <c r="C18" s="35">
        <f>B18*C8</f>
        <v>0.123</v>
      </c>
      <c r="D18" s="35">
        <f t="shared" ref="D18:D20" si="11">E18/3</f>
        <v>0.15341737754593213</v>
      </c>
      <c r="E18" s="35">
        <f>$AF$5*E8^(-$AG$5)*E8</f>
        <v>0.46025213263779635</v>
      </c>
      <c r="F18" s="35">
        <f>4*C8+1.6</f>
        <v>1.9280000000000002</v>
      </c>
      <c r="G18" s="35">
        <f>C18*D8*$AF$6</f>
        <v>0.28486799999999995</v>
      </c>
      <c r="Q18" s="29"/>
      <c r="R18" s="28">
        <f t="shared" si="4"/>
        <v>0.95954487095353846</v>
      </c>
      <c r="S18" s="29">
        <f t="shared" si="8"/>
        <v>0.10070545332089569</v>
      </c>
      <c r="T18" s="28">
        <f t="shared" si="5"/>
        <v>0.99842635067060437</v>
      </c>
      <c r="U18" s="29">
        <f t="shared" si="8"/>
        <v>0.1313177526136019</v>
      </c>
      <c r="V18" s="28">
        <f t="shared" si="6"/>
        <v>1.2887188629534694</v>
      </c>
      <c r="W18" s="29">
        <f t="shared" si="9"/>
        <v>0.33138222990482452</v>
      </c>
      <c r="X18" s="28">
        <f t="shared" si="7"/>
        <v>1.4334613537335712</v>
      </c>
      <c r="Y18" s="29">
        <f t="shared" si="10"/>
        <v>0.38386424981194761</v>
      </c>
      <c r="Z18" s="29">
        <f t="shared" si="0"/>
        <v>0.99842635067060437</v>
      </c>
      <c r="AA18" s="29">
        <f t="shared" si="3"/>
        <v>8.7545168409067939E-2</v>
      </c>
      <c r="AB18" s="28">
        <f t="shared" si="1"/>
        <v>1.2887188629534694</v>
      </c>
      <c r="AC18" s="28">
        <f t="shared" si="2"/>
        <v>6.6924999999999998E-2</v>
      </c>
    </row>
    <row r="19" spans="1:29" ht="15" customHeight="1" x14ac:dyDescent="0.45">
      <c r="A19" s="24" t="s">
        <v>29</v>
      </c>
      <c r="B19" s="35">
        <f>MAX($AH$4,MIN($AI$4,$AF$4-$AG$4*D9*C9))*IF($B$12="T1",1,IF($B$12="T4",1+0.4*$E$12,1+0.2*$E$12))</f>
        <v>1.3385</v>
      </c>
      <c r="C19" s="35">
        <f>B19*C9</f>
        <v>0.33462500000000001</v>
      </c>
      <c r="D19" s="35">
        <f t="shared" si="11"/>
        <v>0.17651869980007165</v>
      </c>
      <c r="E19" s="35">
        <f>$AF$5*E9^(-$AG$5)*E9</f>
        <v>0.52955609940021497</v>
      </c>
      <c r="F19" s="35">
        <f>4*C9+1.6</f>
        <v>2.6</v>
      </c>
      <c r="G19" s="35">
        <f>C19*D9*$AF$6</f>
        <v>0.80644625000000003</v>
      </c>
      <c r="Q19" s="29"/>
      <c r="R19" s="28">
        <f t="shared" si="4"/>
        <v>1.0060951409033523</v>
      </c>
      <c r="S19" s="29">
        <f t="shared" si="8"/>
        <v>9.6045987384804452E-2</v>
      </c>
      <c r="T19" s="28">
        <f t="shared" si="5"/>
        <v>1.0473512795826778</v>
      </c>
      <c r="U19" s="29">
        <f t="shared" si="8"/>
        <v>0.12518350535887598</v>
      </c>
      <c r="V19" s="28">
        <f t="shared" si="6"/>
        <v>1.3577336596401288</v>
      </c>
      <c r="W19" s="29">
        <f t="shared" si="9"/>
        <v>0.31453777955178908</v>
      </c>
      <c r="X19" s="28">
        <f t="shared" si="7"/>
        <v>1.5135949666949622</v>
      </c>
      <c r="Y19" s="29">
        <f t="shared" si="10"/>
        <v>0.36354148850459944</v>
      </c>
      <c r="Z19" s="29">
        <f t="shared" si="0"/>
        <v>1.0473512795826778</v>
      </c>
      <c r="AA19" s="29">
        <f t="shared" si="3"/>
        <v>8.3455670239250657E-2</v>
      </c>
      <c r="AB19" s="28">
        <f t="shared" si="1"/>
        <v>1.3577336596401288</v>
      </c>
      <c r="AC19" s="28">
        <f t="shared" si="2"/>
        <v>6.6924999999999998E-2</v>
      </c>
    </row>
    <row r="20" spans="1:29" ht="15" customHeight="1" x14ac:dyDescent="0.45">
      <c r="A20" s="24" t="s">
        <v>42</v>
      </c>
      <c r="B20" s="35">
        <f>MAX($AH$4,MIN($AI$4,$AF$4-$AG$4*D10*C10))*IF($B$12="T1",1,IF($B$12="T4",1+0.4*$E$12,1+0.2*$E$12))</f>
        <v>1.2026870000000001</v>
      </c>
      <c r="C20" s="35">
        <f>B20*C10</f>
        <v>0.40771089300000007</v>
      </c>
      <c r="D20" s="35">
        <f t="shared" si="11"/>
        <v>0.18399720371942338</v>
      </c>
      <c r="E20" s="35">
        <f>$AF$5*E10^(-$AG$5)*E10</f>
        <v>0.55199161115827011</v>
      </c>
      <c r="F20" s="35">
        <f>4*C10+1.6</f>
        <v>2.9560000000000004</v>
      </c>
      <c r="G20" s="35">
        <f>C20*D10*$AF$6</f>
        <v>0.99685313338500015</v>
      </c>
      <c r="Q20" s="29"/>
      <c r="R20" s="28">
        <f t="shared" si="4"/>
        <v>1.052645410853166</v>
      </c>
      <c r="S20" s="29">
        <f t="shared" si="8"/>
        <v>9.1798624888125402E-2</v>
      </c>
      <c r="T20" s="28">
        <f t="shared" si="5"/>
        <v>1.0962762084947513</v>
      </c>
      <c r="U20" s="29">
        <f t="shared" si="8"/>
        <v>0.11959677999423764</v>
      </c>
      <c r="V20" s="28">
        <f t="shared" si="6"/>
        <v>1.4267484563267885</v>
      </c>
      <c r="W20" s="29">
        <f t="shared" si="9"/>
        <v>0.29932293154562584</v>
      </c>
      <c r="X20" s="28">
        <f t="shared" si="7"/>
        <v>1.5937285796563534</v>
      </c>
      <c r="Y20" s="29">
        <f t="shared" si="10"/>
        <v>0.34526240804692376</v>
      </c>
      <c r="Z20" s="29">
        <f t="shared" si="0"/>
        <v>1.0962762084947513</v>
      </c>
      <c r="AA20" s="29">
        <f t="shared" si="3"/>
        <v>7.9731186662825096E-2</v>
      </c>
      <c r="AB20" s="28">
        <f t="shared" si="1"/>
        <v>1.4267484563267885</v>
      </c>
      <c r="AC20" s="28">
        <f t="shared" si="2"/>
        <v>6.6924999999999998E-2</v>
      </c>
    </row>
    <row r="21" spans="1:29" ht="15" customHeight="1" x14ac:dyDescent="0.45">
      <c r="Q21" s="29"/>
      <c r="R21" s="28">
        <f t="shared" si="4"/>
        <v>1.0991956808029797</v>
      </c>
      <c r="S21" s="29">
        <f t="shared" si="8"/>
        <v>8.7911008839232044E-2</v>
      </c>
      <c r="T21" s="28">
        <f t="shared" si="5"/>
        <v>1.1452011374068247</v>
      </c>
      <c r="U21" s="29">
        <f t="shared" si="8"/>
        <v>0.11448740333698032</v>
      </c>
      <c r="V21" s="28">
        <f t="shared" si="6"/>
        <v>1.4957632530134481</v>
      </c>
      <c r="W21" s="29">
        <f t="shared" si="9"/>
        <v>0.28551211541368909</v>
      </c>
      <c r="X21" s="28">
        <f t="shared" si="7"/>
        <v>1.6738621926177444</v>
      </c>
      <c r="Y21" s="29">
        <f t="shared" si="10"/>
        <v>0.32873349407863495</v>
      </c>
      <c r="Z21" s="29">
        <f t="shared" si="0"/>
        <v>1.1452011374068247</v>
      </c>
      <c r="AA21" s="29">
        <f t="shared" si="3"/>
        <v>7.6324935557986875E-2</v>
      </c>
      <c r="AB21" s="28">
        <f t="shared" si="1"/>
        <v>1.4957632530134481</v>
      </c>
      <c r="AC21" s="28">
        <f t="shared" si="2"/>
        <v>6.6924999999999998E-2</v>
      </c>
    </row>
    <row r="22" spans="1:29" ht="15" customHeight="1" x14ac:dyDescent="0.45">
      <c r="A22" s="37"/>
      <c r="G22" s="23" t="s">
        <v>63</v>
      </c>
      <c r="Q22" s="29"/>
      <c r="R22" s="28">
        <f t="shared" si="4"/>
        <v>1.1457459507527936</v>
      </c>
      <c r="S22" s="29">
        <f t="shared" si="8"/>
        <v>8.433929105106272E-2</v>
      </c>
      <c r="T22" s="28">
        <f t="shared" si="5"/>
        <v>1.1941260663188982</v>
      </c>
      <c r="U22" s="29">
        <f t="shared" si="8"/>
        <v>0.10979670255791049</v>
      </c>
      <c r="V22" s="28">
        <f t="shared" si="6"/>
        <v>1.5647780497001076</v>
      </c>
      <c r="W22" s="29">
        <f t="shared" si="9"/>
        <v>0.2729195559765023</v>
      </c>
      <c r="X22" s="28">
        <f t="shared" si="7"/>
        <v>1.7539958055791354</v>
      </c>
      <c r="Y22" s="29">
        <f t="shared" si="10"/>
        <v>0.31371487060293896</v>
      </c>
      <c r="Z22" s="29">
        <f t="shared" si="0"/>
        <v>1.1941260663188982</v>
      </c>
      <c r="AA22" s="29">
        <f t="shared" si="3"/>
        <v>7.3197801705273666E-2</v>
      </c>
      <c r="AB22" s="28">
        <f t="shared" si="1"/>
        <v>1.5647780497001076</v>
      </c>
      <c r="AC22" s="28">
        <f t="shared" si="2"/>
        <v>6.6924999999999998E-2</v>
      </c>
    </row>
    <row r="23" spans="1:29" ht="15" customHeight="1" x14ac:dyDescent="0.45">
      <c r="A23" s="23" t="s">
        <v>64</v>
      </c>
      <c r="B23" s="31">
        <v>0.61099999999999999</v>
      </c>
      <c r="F23" s="26" t="s">
        <v>41</v>
      </c>
      <c r="G23" s="35">
        <f>IF($B$23="","",IF($B$23&lt;D17,G17*($B$23/D17+(1-$B$23/D17)/D7/$AF$6),IF($B$23&lt;=E17,G17,IF($B$23&lt;F17,G17*E17/$B$23,G17*E17*F17/$B$23^2))))</f>
        <v>0.15815286613930676</v>
      </c>
      <c r="I23" s="23">
        <f>IF(B23="",-1,B23)</f>
        <v>0.61099999999999999</v>
      </c>
      <c r="J23" s="30">
        <f>IF($B$23="","",G23)</f>
        <v>0.15815286613930676</v>
      </c>
      <c r="L23" s="23">
        <f>I23</f>
        <v>0.61099999999999999</v>
      </c>
      <c r="M23" s="30">
        <f>IF($B$23="","",G25)</f>
        <v>0.69895013179366716</v>
      </c>
      <c r="Q23" s="29"/>
      <c r="R23" s="28">
        <f t="shared" si="4"/>
        <v>1.1922962207026073</v>
      </c>
      <c r="S23" s="29">
        <f t="shared" si="8"/>
        <v>8.104647111451263E-2</v>
      </c>
      <c r="T23" s="28">
        <f t="shared" si="5"/>
        <v>1.2430509952309716</v>
      </c>
      <c r="U23" s="29">
        <f t="shared" si="8"/>
        <v>0.10547524198385921</v>
      </c>
      <c r="V23" s="28">
        <f t="shared" si="6"/>
        <v>1.633792846386767</v>
      </c>
      <c r="W23" s="29">
        <f t="shared" si="9"/>
        <v>0.2613908681693623</v>
      </c>
      <c r="X23" s="28">
        <f t="shared" si="7"/>
        <v>1.8341294185405264</v>
      </c>
      <c r="Y23" s="29">
        <f t="shared" si="10"/>
        <v>0.30000858261311286</v>
      </c>
      <c r="Z23" s="29">
        <f t="shared" si="0"/>
        <v>1.2430509952309716</v>
      </c>
      <c r="AA23" s="29">
        <f t="shared" si="3"/>
        <v>7.031682798923948E-2</v>
      </c>
      <c r="AB23" s="28">
        <f t="shared" si="1"/>
        <v>1.633792846386767</v>
      </c>
      <c r="AC23" s="28">
        <f t="shared" si="2"/>
        <v>6.6924999999999998E-2</v>
      </c>
    </row>
    <row r="24" spans="1:29" ht="15" customHeight="1" x14ac:dyDescent="0.45">
      <c r="A24" s="37"/>
      <c r="F24" s="36" t="s">
        <v>31</v>
      </c>
      <c r="G24" s="35">
        <f>IF($B$23="","",IF($B$23&lt;D18,G18*($B$23/D18+(1-$B$23/D18)/D8/$AF$6),IF($B$23&lt;=E18,G18,IF($B$23&lt;F18,G18*E18/$B$23,G18*E18*F18/$B$23^2))))</f>
        <v>0.21458445911663462</v>
      </c>
      <c r="I24" s="23">
        <f>I23</f>
        <v>0.61099999999999999</v>
      </c>
      <c r="J24" s="30">
        <f t="shared" ref="J24:J26" si="12">IF($B$23="","",G24)</f>
        <v>0.21458445911663462</v>
      </c>
      <c r="L24" s="23">
        <f>IF($B$29="",-1,I24)</f>
        <v>0.61099999999999999</v>
      </c>
      <c r="M24" s="30">
        <f>IF($B$23="","",G29)</f>
        <v>0.11947865500746449</v>
      </c>
      <c r="Q24" s="29"/>
      <c r="R24" s="28">
        <f t="shared" si="4"/>
        <v>1.238846490652421</v>
      </c>
      <c r="S24" s="29">
        <f t="shared" si="8"/>
        <v>7.8001109855206405E-2</v>
      </c>
      <c r="T24" s="28">
        <f t="shared" si="5"/>
        <v>1.2919759241430451</v>
      </c>
      <c r="U24" s="29">
        <f t="shared" si="8"/>
        <v>0.10148107412081109</v>
      </c>
      <c r="V24" s="28">
        <f t="shared" si="6"/>
        <v>1.7028076430734265</v>
      </c>
      <c r="W24" s="29">
        <f t="shared" si="9"/>
        <v>0.250796695835312</v>
      </c>
      <c r="X24" s="28">
        <f t="shared" si="7"/>
        <v>1.9142630315019173</v>
      </c>
      <c r="Y24" s="29">
        <f t="shared" si="10"/>
        <v>0.28744982174870204</v>
      </c>
      <c r="Z24" s="29">
        <f t="shared" si="0"/>
        <v>1.2919759241430451</v>
      </c>
      <c r="AA24" s="29">
        <f t="shared" si="3"/>
        <v>6.7654049413874054E-2</v>
      </c>
      <c r="AB24" s="28">
        <f t="shared" si="1"/>
        <v>1.7028076430734265</v>
      </c>
      <c r="AC24" s="28">
        <f t="shared" si="2"/>
        <v>6.6924999999999998E-2</v>
      </c>
    </row>
    <row r="25" spans="1:29" ht="15" customHeight="1" x14ac:dyDescent="0.45">
      <c r="A25" s="37"/>
      <c r="C25" s="38" t="s">
        <v>65</v>
      </c>
      <c r="D25" s="39">
        <f>IF(B23="","",G25/G23)</f>
        <v>4.4194591527541878</v>
      </c>
      <c r="F25" s="24" t="s">
        <v>29</v>
      </c>
      <c r="G25" s="35">
        <f>IF($B$23="","",IF($B$23&lt;D19,G19*($B$23/D19+(1-$B$23/D19)/D9/$AF$6),IF($B$23&lt;=E19,G19,IF($B$23&lt;F19,G19*E19/$B$23,G19*E19*F19/$B$23^2))))</f>
        <v>0.69895013179366716</v>
      </c>
      <c r="I25" s="23">
        <f t="shared" ref="I25:I26" si="13">I24</f>
        <v>0.61099999999999999</v>
      </c>
      <c r="J25" s="30">
        <f t="shared" si="12"/>
        <v>0.69895013179366716</v>
      </c>
      <c r="L25" s="23">
        <f t="shared" ref="L25:L26" si="14">I25</f>
        <v>0.61099999999999999</v>
      </c>
      <c r="M25" s="30">
        <f>IF($B$23="","",G23)</f>
        <v>0.15815286613930676</v>
      </c>
      <c r="Q25" s="29"/>
      <c r="R25" s="28">
        <f t="shared" si="4"/>
        <v>1.285396760602235</v>
      </c>
      <c r="S25" s="29">
        <f t="shared" si="8"/>
        <v>7.5176322341004367E-2</v>
      </c>
      <c r="T25" s="28">
        <f t="shared" si="5"/>
        <v>1.3409008530551187</v>
      </c>
      <c r="U25" s="29">
        <f t="shared" si="8"/>
        <v>9.7778373562474222E-2</v>
      </c>
      <c r="V25" s="28">
        <f t="shared" si="6"/>
        <v>1.7718224397600859</v>
      </c>
      <c r="W25" s="29">
        <f t="shared" si="9"/>
        <v>0.24102783718201276</v>
      </c>
      <c r="X25" s="28">
        <f t="shared" si="7"/>
        <v>1.9943966444633086</v>
      </c>
      <c r="Y25" s="29">
        <f t="shared" si="10"/>
        <v>0.27590026723767852</v>
      </c>
      <c r="Z25" s="29">
        <f t="shared" si="0"/>
        <v>1.3409008530551187</v>
      </c>
      <c r="AA25" s="29">
        <f t="shared" si="3"/>
        <v>6.5185582374982814E-2</v>
      </c>
      <c r="AB25" s="28">
        <f t="shared" si="1"/>
        <v>1.7718224397600859</v>
      </c>
      <c r="AC25" s="28">
        <f t="shared" si="2"/>
        <v>6.6924999999999998E-2</v>
      </c>
    </row>
    <row r="26" spans="1:29" ht="15" customHeight="1" x14ac:dyDescent="0.45">
      <c r="A26" s="37"/>
      <c r="C26" s="38" t="s">
        <v>66</v>
      </c>
      <c r="D26" s="64">
        <f>IF(B23="","",G25/G24*1.5)</f>
        <v>4.8858393660308961</v>
      </c>
      <c r="F26" s="24" t="s">
        <v>42</v>
      </c>
      <c r="G26" s="35">
        <f>IF($B$23="","",IF($B$23&lt;D20,G20*($B$23/D20+(1-$B$23/D20)/D10/$AF$6),IF($B$23&lt;=E20,G20,IF($B$23&lt;F20,G20*E20/$B$23,G20*E20*F20/$B$23^2))))</f>
        <v>0.90058030635901176</v>
      </c>
      <c r="I26" s="23">
        <f t="shared" si="13"/>
        <v>0.61099999999999999</v>
      </c>
      <c r="J26" s="30">
        <f t="shared" si="12"/>
        <v>0.90058030635901176</v>
      </c>
      <c r="L26" s="23">
        <f t="shared" si="14"/>
        <v>0.61099999999999999</v>
      </c>
      <c r="M26" s="30">
        <f>IF($B$23="","",G24)</f>
        <v>0.21458445911663462</v>
      </c>
      <c r="Q26" s="29"/>
      <c r="R26" s="28">
        <f t="shared" si="4"/>
        <v>1.3319470305520484</v>
      </c>
      <c r="S26" s="29">
        <f t="shared" si="8"/>
        <v>7.2548982050033836E-2</v>
      </c>
      <c r="T26" s="28">
        <f t="shared" si="5"/>
        <v>1.389825781967192</v>
      </c>
      <c r="U26" s="29">
        <f t="shared" si="8"/>
        <v>9.4336359435415004E-2</v>
      </c>
      <c r="V26" s="28">
        <f t="shared" si="6"/>
        <v>1.8408372364467454</v>
      </c>
      <c r="W26" s="29">
        <f t="shared" si="9"/>
        <v>0.23199146674708482</v>
      </c>
      <c r="X26" s="28">
        <f t="shared" si="7"/>
        <v>2.0745302574246995</v>
      </c>
      <c r="Y26" s="29">
        <f t="shared" si="10"/>
        <v>0.26524297016927412</v>
      </c>
      <c r="Z26" s="29">
        <f t="shared" si="0"/>
        <v>1.389825781967192</v>
      </c>
      <c r="AA26" s="29">
        <f t="shared" si="3"/>
        <v>6.2890906290276674E-2</v>
      </c>
      <c r="AB26" s="28">
        <f t="shared" si="1"/>
        <v>1.8408372364467454</v>
      </c>
      <c r="AC26" s="28">
        <f t="shared" si="2"/>
        <v>6.6924999999999998E-2</v>
      </c>
    </row>
    <row r="27" spans="1:29" ht="15" customHeight="1" x14ac:dyDescent="0.45">
      <c r="A27" s="37"/>
      <c r="Q27" s="29"/>
      <c r="R27" s="28">
        <f t="shared" si="4"/>
        <v>1.3784973005018624</v>
      </c>
      <c r="S27" s="29">
        <f t="shared" si="8"/>
        <v>7.0099086284707512E-2</v>
      </c>
      <c r="T27" s="28">
        <f t="shared" si="5"/>
        <v>1.4387507108792654</v>
      </c>
      <c r="U27" s="29">
        <f t="shared" si="8"/>
        <v>9.1128437698659887E-2</v>
      </c>
      <c r="V27" s="28">
        <f t="shared" si="6"/>
        <v>1.9098520331334048</v>
      </c>
      <c r="W27" s="29">
        <f t="shared" si="9"/>
        <v>0.223608176506363</v>
      </c>
      <c r="X27" s="28">
        <f t="shared" si="7"/>
        <v>2.1546638703860905</v>
      </c>
      <c r="Y27" s="29">
        <f t="shared" si="10"/>
        <v>0.25537837931387275</v>
      </c>
      <c r="Z27" s="29">
        <f t="shared" si="0"/>
        <v>1.4387507108792654</v>
      </c>
      <c r="AA27" s="29">
        <f t="shared" si="3"/>
        <v>6.0752291799106593E-2</v>
      </c>
      <c r="AB27" s="28">
        <f t="shared" si="1"/>
        <v>1.9098520331334048</v>
      </c>
      <c r="AC27" s="28">
        <f t="shared" si="2"/>
        <v>6.6924999999999998E-2</v>
      </c>
    </row>
    <row r="28" spans="1:29" ht="15" customHeight="1" x14ac:dyDescent="0.45">
      <c r="A28" s="19"/>
      <c r="F28" s="23" t="s">
        <v>67</v>
      </c>
      <c r="G28" s="23" t="s">
        <v>68</v>
      </c>
      <c r="Q28" s="29"/>
      <c r="R28" s="28">
        <f t="shared" si="4"/>
        <v>1.4250475704516761</v>
      </c>
      <c r="S28" s="29">
        <f t="shared" si="8"/>
        <v>6.7809245961163681E-2</v>
      </c>
      <c r="T28" s="28">
        <f t="shared" si="5"/>
        <v>1.4876756397913391</v>
      </c>
      <c r="U28" s="29">
        <f t="shared" si="8"/>
        <v>8.8131512685556482E-2</v>
      </c>
      <c r="V28" s="28">
        <f t="shared" si="6"/>
        <v>1.9788668298200647</v>
      </c>
      <c r="W28" s="29">
        <f t="shared" si="9"/>
        <v>0.21580963614654272</v>
      </c>
      <c r="X28" s="28">
        <f t="shared" si="7"/>
        <v>2.2347974833474815</v>
      </c>
      <c r="Y28" s="29">
        <f t="shared" si="10"/>
        <v>0.24622122196107682</v>
      </c>
      <c r="Z28" s="29">
        <f t="shared" si="0"/>
        <v>1.4876756397913391</v>
      </c>
      <c r="AA28" s="29">
        <f t="shared" si="3"/>
        <v>5.8754341790370986E-2</v>
      </c>
      <c r="AB28" s="28">
        <f t="shared" si="1"/>
        <v>1.9788668298200647</v>
      </c>
      <c r="AC28" s="28">
        <f t="shared" si="2"/>
        <v>6.6924999999999998E-2</v>
      </c>
    </row>
    <row r="29" spans="1:29" ht="15" customHeight="1" x14ac:dyDescent="0.45">
      <c r="A29" s="40" t="s">
        <v>69</v>
      </c>
      <c r="B29" s="31">
        <v>5.85</v>
      </c>
      <c r="F29" s="35">
        <f>IF(OR($B$23="",$B$29=""),"",G19/B29/AF6)</f>
        <v>0.13785405982905985</v>
      </c>
      <c r="G29" s="35">
        <f>IF(OR($B$23="",$B$29=""),"",IF($B$23&lt;D19,G19/B29/AF6*($B$23/D19+(1-$B$23/D19)/D9),IF($B$23&lt;=E19,G19/B29/AF6,IF($B$23&lt;F19,G19/B29/AF6*E19/$B$23,G19/B29/AF6*E19*F19/$B$23^2))))</f>
        <v>0.11947865500746449</v>
      </c>
      <c r="Q29" s="29"/>
      <c r="R29" s="28">
        <f t="shared" si="4"/>
        <v>1.47159784040149</v>
      </c>
      <c r="S29" s="29">
        <f t="shared" si="8"/>
        <v>6.5664272234018023E-2</v>
      </c>
      <c r="T29" s="28">
        <f t="shared" si="5"/>
        <v>1.5366005687034123</v>
      </c>
      <c r="U29" s="29">
        <f t="shared" si="8"/>
        <v>8.5325430167512983E-2</v>
      </c>
      <c r="V29" s="28">
        <f t="shared" si="6"/>
        <v>2.0478816265067241</v>
      </c>
      <c r="W29" s="29">
        <f t="shared" si="9"/>
        <v>0.20853672643882593</v>
      </c>
      <c r="X29" s="28">
        <f t="shared" si="7"/>
        <v>2.3149310963088725</v>
      </c>
      <c r="Y29" s="29">
        <f t="shared" si="10"/>
        <v>0.23769803259489231</v>
      </c>
      <c r="Z29" s="29">
        <f t="shared" si="0"/>
        <v>1.5366005687034123</v>
      </c>
      <c r="AA29" s="29">
        <f t="shared" si="3"/>
        <v>5.6883620111675325E-2</v>
      </c>
      <c r="AB29" s="28">
        <f t="shared" si="1"/>
        <v>2.0478816265067241</v>
      </c>
      <c r="AC29" s="28">
        <f t="shared" si="2"/>
        <v>6.6924999999999998E-2</v>
      </c>
    </row>
    <row r="30" spans="1:29" ht="15" customHeight="1" x14ac:dyDescent="0.45">
      <c r="A30" s="19"/>
      <c r="C30" s="65"/>
      <c r="D30" s="41"/>
      <c r="Q30" s="29"/>
      <c r="R30" s="28">
        <f t="shared" si="4"/>
        <v>1.5181481103513037</v>
      </c>
      <c r="S30" s="29">
        <f t="shared" si="8"/>
        <v>6.3650839171914303E-2</v>
      </c>
      <c r="T30" s="28">
        <f t="shared" si="5"/>
        <v>1.585525497615486</v>
      </c>
      <c r="U30" s="29">
        <f t="shared" si="8"/>
        <v>8.2692523530807444E-2</v>
      </c>
      <c r="V30" s="28">
        <f t="shared" si="6"/>
        <v>2.1168964231933836</v>
      </c>
      <c r="W30" s="29">
        <f t="shared" si="9"/>
        <v>0.20173803774570306</v>
      </c>
      <c r="X30" s="28">
        <f t="shared" si="7"/>
        <v>2.3950647092702635</v>
      </c>
      <c r="Y30" s="29">
        <f t="shared" si="10"/>
        <v>0.22974517767956656</v>
      </c>
      <c r="Z30" s="29">
        <f t="shared" si="0"/>
        <v>1.585525497615486</v>
      </c>
      <c r="AA30" s="29">
        <f t="shared" si="3"/>
        <v>5.5128349020538293E-2</v>
      </c>
      <c r="AB30" s="28">
        <f t="shared" si="1"/>
        <v>2.1168964231933836</v>
      </c>
      <c r="AC30" s="28">
        <f t="shared" si="2"/>
        <v>6.6924999999999998E-2</v>
      </c>
    </row>
    <row r="31" spans="1:29" ht="15" customHeight="1" x14ac:dyDescent="0.45">
      <c r="Q31" s="29"/>
      <c r="R31" s="28">
        <f t="shared" si="4"/>
        <v>1.5646983803011174</v>
      </c>
      <c r="S31" s="29">
        <f t="shared" si="8"/>
        <v>6.1757206646127071E-2</v>
      </c>
      <c r="T31" s="28">
        <f t="shared" si="5"/>
        <v>1.6344504265275595</v>
      </c>
      <c r="U31" s="29">
        <f t="shared" si="8"/>
        <v>8.0217241460674563E-2</v>
      </c>
      <c r="V31" s="28">
        <f t="shared" si="6"/>
        <v>2.185911219880043</v>
      </c>
      <c r="W31" s="29">
        <f t="shared" si="9"/>
        <v>0.19536865296357575</v>
      </c>
      <c r="X31" s="28">
        <f t="shared" si="7"/>
        <v>2.4751983222316545</v>
      </c>
      <c r="Y31" s="29">
        <f t="shared" si="10"/>
        <v>0.22230726412631177</v>
      </c>
      <c r="Z31" s="29">
        <f t="shared" si="0"/>
        <v>1.6344504265275595</v>
      </c>
      <c r="AA31" s="29">
        <f t="shared" si="3"/>
        <v>5.3478160973783044E-2</v>
      </c>
      <c r="AB31" s="28">
        <f t="shared" si="1"/>
        <v>2.185911219880043</v>
      </c>
      <c r="AC31" s="28">
        <f t="shared" si="2"/>
        <v>6.6924999999999998E-2</v>
      </c>
    </row>
    <row r="32" spans="1:29" ht="15" customHeight="1" x14ac:dyDescent="0.45">
      <c r="Q32" s="29"/>
      <c r="R32" s="28">
        <f t="shared" si="4"/>
        <v>1.6112486502509313</v>
      </c>
      <c r="S32" s="29">
        <f t="shared" si="8"/>
        <v>5.9972991254991795E-2</v>
      </c>
      <c r="T32" s="28">
        <f t="shared" si="5"/>
        <v>1.6833753554396327</v>
      </c>
      <c r="U32" s="29">
        <f t="shared" si="8"/>
        <v>7.7885840550411645E-2</v>
      </c>
      <c r="V32" s="28">
        <f t="shared" si="6"/>
        <v>2.2549260165667024</v>
      </c>
      <c r="W32" s="29">
        <f t="shared" si="9"/>
        <v>0.18938915396264749</v>
      </c>
      <c r="X32" s="28">
        <f t="shared" si="7"/>
        <v>2.5553319351930455</v>
      </c>
      <c r="Y32" s="29">
        <f t="shared" si="10"/>
        <v>0.21533584721696306</v>
      </c>
      <c r="Z32" s="29">
        <f t="shared" si="0"/>
        <v>1.6833753554396327</v>
      </c>
      <c r="AA32" s="29">
        <f t="shared" si="3"/>
        <v>5.1923893700274427E-2</v>
      </c>
      <c r="AB32" s="28">
        <f t="shared" si="1"/>
        <v>2.2549260165667024</v>
      </c>
      <c r="AC32" s="28">
        <f t="shared" si="2"/>
        <v>6.6924999999999998E-2</v>
      </c>
    </row>
    <row r="33" spans="17:29" ht="15" customHeight="1" x14ac:dyDescent="0.45">
      <c r="Q33" s="29"/>
      <c r="R33" s="28">
        <f t="shared" si="4"/>
        <v>1.657798920200745</v>
      </c>
      <c r="S33" s="29">
        <f t="shared" si="8"/>
        <v>5.8288975842386972E-2</v>
      </c>
      <c r="T33" s="28">
        <f t="shared" si="5"/>
        <v>1.7323002843517064</v>
      </c>
      <c r="U33" s="29">
        <f t="shared" si="8"/>
        <v>7.5686129999875049E-2</v>
      </c>
      <c r="V33" s="28">
        <f t="shared" si="6"/>
        <v>2.3239408132533619</v>
      </c>
      <c r="W33" s="29">
        <f t="shared" si="9"/>
        <v>0.18376480506320519</v>
      </c>
      <c r="X33" s="28">
        <f t="shared" si="7"/>
        <v>2.6354655481544365</v>
      </c>
      <c r="Y33" s="29">
        <f t="shared" si="10"/>
        <v>0.20878837424783958</v>
      </c>
      <c r="Z33" s="29">
        <f t="shared" si="0"/>
        <v>1.7323002843517064</v>
      </c>
      <c r="AA33" s="29">
        <f t="shared" si="3"/>
        <v>5.0457419999916701E-2</v>
      </c>
      <c r="AB33" s="28">
        <f t="shared" si="1"/>
        <v>2.3239408132533619</v>
      </c>
      <c r="AC33" s="28">
        <f t="shared" si="2"/>
        <v>6.6924999999999998E-2</v>
      </c>
    </row>
    <row r="34" spans="17:29" ht="15" customHeight="1" x14ac:dyDescent="0.45">
      <c r="Q34" s="29"/>
      <c r="R34" s="28">
        <f t="shared" si="4"/>
        <v>1.7043491901505587</v>
      </c>
      <c r="S34" s="29">
        <f t="shared" si="8"/>
        <v>5.6696950231531026E-2</v>
      </c>
      <c r="T34" s="28">
        <f t="shared" si="5"/>
        <v>1.7812252132637798</v>
      </c>
      <c r="U34" s="29">
        <f t="shared" si="8"/>
        <v>7.3607258388188809E-2</v>
      </c>
      <c r="V34" s="28">
        <f t="shared" si="6"/>
        <v>2.3929556099400213</v>
      </c>
      <c r="W34" s="29">
        <f t="shared" si="9"/>
        <v>0.17846487780717116</v>
      </c>
      <c r="X34" s="28">
        <f t="shared" si="7"/>
        <v>2.7155991611158274</v>
      </c>
      <c r="Y34" s="29">
        <f t="shared" si="10"/>
        <v>0.20262731520334504</v>
      </c>
      <c r="Z34" s="29">
        <f t="shared" si="0"/>
        <v>1.7812252132637798</v>
      </c>
      <c r="AA34" s="29">
        <f t="shared" si="3"/>
        <v>4.9071505592125871E-2</v>
      </c>
      <c r="AB34" s="28">
        <f t="shared" si="1"/>
        <v>2.3929556099400213</v>
      </c>
      <c r="AC34" s="28">
        <f t="shared" si="2"/>
        <v>6.6924999999999998E-2</v>
      </c>
    </row>
    <row r="35" spans="17:29" ht="15" customHeight="1" x14ac:dyDescent="0.45">
      <c r="Q35" s="29"/>
      <c r="R35" s="28">
        <f t="shared" si="4"/>
        <v>1.7508994601003725</v>
      </c>
      <c r="S35" s="29">
        <f t="shared" si="8"/>
        <v>5.5189577364754529E-2</v>
      </c>
      <c r="T35" s="28">
        <f t="shared" si="5"/>
        <v>1.8301501421758533</v>
      </c>
      <c r="U35" s="29">
        <f t="shared" si="8"/>
        <v>7.1639534647352288E-2</v>
      </c>
      <c r="V35" s="28">
        <f t="shared" si="6"/>
        <v>2.4619704066266812</v>
      </c>
      <c r="W35" s="29">
        <f t="shared" si="9"/>
        <v>0.17346208929906415</v>
      </c>
      <c r="X35" s="28">
        <f t="shared" si="7"/>
        <v>2.7957327740772184</v>
      </c>
      <c r="Y35" s="29">
        <f t="shared" si="10"/>
        <v>0.19681944293369652</v>
      </c>
      <c r="Z35" s="29">
        <f t="shared" si="0"/>
        <v>1.8301501421758533</v>
      </c>
      <c r="AA35" s="29">
        <f t="shared" si="3"/>
        <v>4.7759689764901525E-2</v>
      </c>
      <c r="AB35" s="28">
        <f t="shared" si="1"/>
        <v>2.4619704066266812</v>
      </c>
      <c r="AC35" s="28">
        <f t="shared" si="2"/>
        <v>6.6924999999999998E-2</v>
      </c>
    </row>
    <row r="36" spans="17:29" ht="15" customHeight="1" x14ac:dyDescent="0.45">
      <c r="Q36" s="29"/>
      <c r="R36" s="28">
        <f t="shared" si="4"/>
        <v>1.7974497300501864</v>
      </c>
      <c r="S36" s="29">
        <f t="shared" si="8"/>
        <v>5.3760280243508339E-2</v>
      </c>
      <c r="T36" s="28">
        <f t="shared" si="5"/>
        <v>1.8790750710879267</v>
      </c>
      <c r="U36" s="29">
        <f t="shared" si="8"/>
        <v>6.9774277003395321E-2</v>
      </c>
      <c r="V36" s="28">
        <f t="shared" si="6"/>
        <v>2.5309852033133406</v>
      </c>
      <c r="W36" s="29">
        <f t="shared" si="9"/>
        <v>0.16873213243872923</v>
      </c>
      <c r="X36" s="28">
        <f t="shared" si="7"/>
        <v>2.8758663870386094</v>
      </c>
      <c r="Y36" s="29">
        <f t="shared" si="10"/>
        <v>0.19133523367612865</v>
      </c>
      <c r="Z36" s="29">
        <f t="shared" si="0"/>
        <v>1.8790750710879267</v>
      </c>
      <c r="AA36" s="29">
        <f t="shared" si="3"/>
        <v>4.6516184668930212E-2</v>
      </c>
      <c r="AB36" s="28">
        <f t="shared" si="1"/>
        <v>2.5309852033133406</v>
      </c>
      <c r="AC36" s="28">
        <f t="shared" si="2"/>
        <v>6.6924999999999998E-2</v>
      </c>
    </row>
    <row r="37" spans="17:29" ht="15" customHeight="1" x14ac:dyDescent="0.45">
      <c r="Q37" s="29" t="s">
        <v>70</v>
      </c>
      <c r="R37" s="28">
        <f>MIN(3,F17)</f>
        <v>1.8440000000000001</v>
      </c>
      <c r="S37" s="29">
        <f t="shared" si="8"/>
        <v>5.2403145993013246E-2</v>
      </c>
      <c r="T37" s="28">
        <f>MIN(3,F18)</f>
        <v>1.9280000000000002</v>
      </c>
      <c r="U37" s="29">
        <f t="shared" si="8"/>
        <v>6.800368491714924E-2</v>
      </c>
      <c r="V37" s="28">
        <f>MIN(3,F19)</f>
        <v>2.6</v>
      </c>
      <c r="W37" s="29">
        <f t="shared" si="9"/>
        <v>0.16425328097151176</v>
      </c>
      <c r="X37" s="28">
        <f>MIN(3,F20)</f>
        <v>2.9560000000000004</v>
      </c>
      <c r="Y37" s="29">
        <f t="shared" si="10"/>
        <v>0.18614836508300273</v>
      </c>
      <c r="Z37" s="29">
        <f t="shared" si="0"/>
        <v>1.9280000000000002</v>
      </c>
      <c r="AA37" s="29">
        <f t="shared" si="3"/>
        <v>4.5335789944766162E-2</v>
      </c>
      <c r="AB37" s="28">
        <f t="shared" si="1"/>
        <v>2.6</v>
      </c>
      <c r="AC37" s="28">
        <f t="shared" si="2"/>
        <v>6.6924999999999998E-2</v>
      </c>
    </row>
    <row r="38" spans="17:29" ht="15" customHeight="1" x14ac:dyDescent="0.45">
      <c r="Q38" s="29"/>
      <c r="R38" s="28">
        <f t="shared" ref="R38:R51" si="15">R$37+(R$52-R$37)*(ROW(R38)-ROW(R$37))/15</f>
        <v>1.9210666666666667</v>
      </c>
      <c r="S38" s="29">
        <f>S$7*R$7*R$37/R38^2</f>
        <v>4.8283008272591237E-2</v>
      </c>
      <c r="T38" s="28">
        <f t="shared" ref="T38:T51" si="16">T$37+(T$52-T$37)*(ROW(T38)-ROW(T$37))/15</f>
        <v>1.9994666666666667</v>
      </c>
      <c r="U38" s="29">
        <f>U$7*T$7*T$37/T38^2</f>
        <v>6.322927015988207E-2</v>
      </c>
      <c r="V38" s="28">
        <f t="shared" ref="V38:V51" si="17">V$37+(V$52-V$37)*(ROW(V38)-ROW(V$37))/15</f>
        <v>2.6266666666666669</v>
      </c>
      <c r="W38" s="29">
        <f>W$7*V$7*V$37/V38^2</f>
        <v>0.16093511837310248</v>
      </c>
      <c r="X38" s="28">
        <f t="shared" ref="X38:X51" si="18">X$37+(X$52-X$37)*(ROW(X38)-ROW(X$37))/15</f>
        <v>2.9589333333333339</v>
      </c>
      <c r="Y38" s="29">
        <f>Y$7*X$7*X$37/X38^2</f>
        <v>0.18577947231845296</v>
      </c>
      <c r="Z38" s="29">
        <f t="shared" si="0"/>
        <v>1.9994666666666667</v>
      </c>
      <c r="AA38" s="29">
        <f t="shared" si="3"/>
        <v>4.2152846773254711E-2</v>
      </c>
      <c r="AB38" s="28">
        <f t="shared" si="1"/>
        <v>2.6266666666666669</v>
      </c>
      <c r="AC38" s="28">
        <f t="shared" si="2"/>
        <v>6.6924999999999998E-2</v>
      </c>
    </row>
    <row r="39" spans="17:29" ht="15" customHeight="1" x14ac:dyDescent="0.45">
      <c r="Q39" s="29"/>
      <c r="R39" s="28">
        <f t="shared" si="15"/>
        <v>1.9981333333333333</v>
      </c>
      <c r="S39" s="29">
        <f t="shared" ref="S39:U52" si="19">S$7*R$7*R$37/R39^2</f>
        <v>4.4630347061514961E-2</v>
      </c>
      <c r="T39" s="28">
        <f t="shared" si="16"/>
        <v>2.0709333333333335</v>
      </c>
      <c r="U39" s="29">
        <f t="shared" si="19"/>
        <v>5.8940561469759234E-2</v>
      </c>
      <c r="V39" s="28">
        <f t="shared" si="17"/>
        <v>2.6533333333333333</v>
      </c>
      <c r="W39" s="29">
        <f t="shared" ref="W39:W52" si="20">W$7*V$7*V$37/V39^2</f>
        <v>0.15771649728395079</v>
      </c>
      <c r="X39" s="28">
        <f t="shared" si="18"/>
        <v>2.9618666666666669</v>
      </c>
      <c r="Y39" s="29">
        <f t="shared" ref="Y39:Y52" si="21">Y$7*X$7*X$37/X39^2</f>
        <v>0.18541167502812134</v>
      </c>
      <c r="Z39" s="29">
        <f t="shared" si="0"/>
        <v>2.0709333333333335</v>
      </c>
      <c r="AA39" s="29">
        <f t="shared" si="3"/>
        <v>3.9293707646506158E-2</v>
      </c>
      <c r="AB39" s="28">
        <f t="shared" si="1"/>
        <v>2.6533333333333333</v>
      </c>
      <c r="AC39" s="28">
        <f t="shared" si="2"/>
        <v>6.6924999999999998E-2</v>
      </c>
    </row>
    <row r="40" spans="17:29" ht="15" customHeight="1" x14ac:dyDescent="0.45">
      <c r="Q40" s="29"/>
      <c r="R40" s="28">
        <f t="shared" si="15"/>
        <v>2.0752000000000002</v>
      </c>
      <c r="S40" s="29">
        <f t="shared" si="19"/>
        <v>4.1377026389041026E-2</v>
      </c>
      <c r="T40" s="28">
        <f t="shared" si="16"/>
        <v>2.1424000000000003</v>
      </c>
      <c r="U40" s="29">
        <f t="shared" si="19"/>
        <v>5.5073843516710227E-2</v>
      </c>
      <c r="V40" s="28">
        <f t="shared" si="17"/>
        <v>2.68</v>
      </c>
      <c r="W40" s="29">
        <f t="shared" si="20"/>
        <v>0.15459347563034911</v>
      </c>
      <c r="X40" s="28">
        <f t="shared" si="18"/>
        <v>2.9648000000000003</v>
      </c>
      <c r="Y40" s="29">
        <f t="shared" si="21"/>
        <v>0.18504496887876312</v>
      </c>
      <c r="Z40" s="29">
        <f t="shared" si="0"/>
        <v>2.1424000000000003</v>
      </c>
      <c r="AA40" s="29">
        <f t="shared" si="3"/>
        <v>3.6715895677806816E-2</v>
      </c>
      <c r="AB40" s="28">
        <f t="shared" si="1"/>
        <v>2.68</v>
      </c>
      <c r="AC40" s="28">
        <f t="shared" si="2"/>
        <v>6.6924999999999998E-2</v>
      </c>
    </row>
    <row r="41" spans="17:29" ht="15" customHeight="1" x14ac:dyDescent="0.45">
      <c r="Q41" s="29"/>
      <c r="R41" s="28">
        <f t="shared" si="15"/>
        <v>2.1522666666666668</v>
      </c>
      <c r="S41" s="29">
        <f t="shared" si="19"/>
        <v>3.8466886377449251E-2</v>
      </c>
      <c r="T41" s="28">
        <f t="shared" si="16"/>
        <v>2.2138666666666666</v>
      </c>
      <c r="U41" s="29">
        <f t="shared" si="19"/>
        <v>5.1575516154264263E-2</v>
      </c>
      <c r="V41" s="28">
        <f t="shared" si="17"/>
        <v>2.7066666666666666</v>
      </c>
      <c r="W41" s="29">
        <f t="shared" si="20"/>
        <v>0.15156230456797631</v>
      </c>
      <c r="X41" s="28">
        <f t="shared" si="18"/>
        <v>2.9677333333333338</v>
      </c>
      <c r="Y41" s="29">
        <f t="shared" si="21"/>
        <v>0.18467934955853829</v>
      </c>
      <c r="Z41" s="29">
        <f t="shared" si="0"/>
        <v>2.2138666666666666</v>
      </c>
      <c r="AA41" s="29">
        <f t="shared" si="3"/>
        <v>3.4383677436176173E-2</v>
      </c>
      <c r="AB41" s="28">
        <f t="shared" si="1"/>
        <v>2.7066666666666666</v>
      </c>
      <c r="AC41" s="28">
        <f t="shared" si="2"/>
        <v>6.6924999999999998E-2</v>
      </c>
    </row>
    <row r="42" spans="17:29" ht="15" customHeight="1" x14ac:dyDescent="0.45">
      <c r="Q42" s="29"/>
      <c r="R42" s="28">
        <f t="shared" si="15"/>
        <v>2.2293333333333334</v>
      </c>
      <c r="S42" s="29">
        <f t="shared" si="19"/>
        <v>3.5853303247632883E-2</v>
      </c>
      <c r="T42" s="28">
        <f t="shared" si="16"/>
        <v>2.2853333333333334</v>
      </c>
      <c r="U42" s="29">
        <f t="shared" si="19"/>
        <v>4.8400226854494334E-2</v>
      </c>
      <c r="V42" s="28">
        <f t="shared" si="17"/>
        <v>2.7333333333333334</v>
      </c>
      <c r="W42" s="29">
        <f t="shared" si="20"/>
        <v>0.14861941722645414</v>
      </c>
      <c r="X42" s="28">
        <f t="shared" si="18"/>
        <v>2.9706666666666668</v>
      </c>
      <c r="Y42" s="29">
        <f t="shared" si="21"/>
        <v>0.18431481277688466</v>
      </c>
      <c r="Z42" s="29">
        <f t="shared" si="0"/>
        <v>2.2853333333333334</v>
      </c>
      <c r="AA42" s="29">
        <f t="shared" si="3"/>
        <v>3.2266817902996223E-2</v>
      </c>
      <c r="AB42" s="28">
        <f t="shared" si="1"/>
        <v>2.7333333333333334</v>
      </c>
      <c r="AC42" s="28">
        <f t="shared" si="2"/>
        <v>6.6924999999999998E-2</v>
      </c>
    </row>
    <row r="43" spans="17:29" ht="15" customHeight="1" x14ac:dyDescent="0.45">
      <c r="Q43" s="29"/>
      <c r="R43" s="28">
        <f t="shared" si="15"/>
        <v>2.3064</v>
      </c>
      <c r="S43" s="29">
        <f t="shared" si="19"/>
        <v>3.3497310202478613E-2</v>
      </c>
      <c r="T43" s="28">
        <f t="shared" si="16"/>
        <v>2.3568000000000002</v>
      </c>
      <c r="U43" s="29">
        <f t="shared" si="19"/>
        <v>4.5509393381304129E-2</v>
      </c>
      <c r="V43" s="28">
        <f t="shared" si="17"/>
        <v>2.7600000000000002</v>
      </c>
      <c r="W43" s="29">
        <f t="shared" si="20"/>
        <v>0.14576141821143396</v>
      </c>
      <c r="X43" s="28">
        <f t="shared" si="18"/>
        <v>2.9736000000000002</v>
      </c>
      <c r="Y43" s="29">
        <f t="shared" si="21"/>
        <v>0.18395135426439158</v>
      </c>
      <c r="Z43" s="29">
        <f t="shared" si="0"/>
        <v>2.3568000000000002</v>
      </c>
      <c r="AA43" s="29">
        <f t="shared" si="3"/>
        <v>3.0339595587536086E-2</v>
      </c>
      <c r="AB43" s="28">
        <f t="shared" si="1"/>
        <v>2.7600000000000002</v>
      </c>
      <c r="AC43" s="28">
        <f t="shared" si="2"/>
        <v>6.6924999999999998E-2</v>
      </c>
    </row>
    <row r="44" spans="17:29" ht="15" customHeight="1" x14ac:dyDescent="0.45">
      <c r="Q44" s="29"/>
      <c r="R44" s="28">
        <f t="shared" si="15"/>
        <v>2.3834666666666666</v>
      </c>
      <c r="S44" s="29">
        <f t="shared" si="19"/>
        <v>3.1366136538316935E-2</v>
      </c>
      <c r="T44" s="28">
        <f t="shared" si="16"/>
        <v>2.4282666666666666</v>
      </c>
      <c r="U44" s="29">
        <f t="shared" si="19"/>
        <v>4.2870026218110008E-2</v>
      </c>
      <c r="V44" s="28">
        <f t="shared" si="17"/>
        <v>2.7866666666666666</v>
      </c>
      <c r="W44" s="29">
        <f t="shared" si="20"/>
        <v>0.14298507380650022</v>
      </c>
      <c r="X44" s="28">
        <f t="shared" si="18"/>
        <v>2.9765333333333337</v>
      </c>
      <c r="Y44" s="29">
        <f t="shared" si="21"/>
        <v>0.18358896977267558</v>
      </c>
      <c r="Z44" s="29">
        <f t="shared" si="0"/>
        <v>2.4282666666666666</v>
      </c>
      <c r="AA44" s="29">
        <f t="shared" si="3"/>
        <v>2.8580017478740005E-2</v>
      </c>
      <c r="AB44" s="28">
        <f t="shared" si="1"/>
        <v>2.7866666666666666</v>
      </c>
      <c r="AC44" s="28">
        <f t="shared" si="2"/>
        <v>6.6924999999999998E-2</v>
      </c>
    </row>
    <row r="45" spans="17:29" ht="15" customHeight="1" x14ac:dyDescent="0.45">
      <c r="Q45" s="29"/>
      <c r="R45" s="28">
        <f t="shared" si="15"/>
        <v>2.4605333333333332</v>
      </c>
      <c r="S45" s="29">
        <f t="shared" si="19"/>
        <v>2.9432061889601749E-2</v>
      </c>
      <c r="T45" s="28">
        <f t="shared" si="16"/>
        <v>2.4997333333333334</v>
      </c>
      <c r="U45" s="29">
        <f t="shared" si="19"/>
        <v>4.0453783202553356E-2</v>
      </c>
      <c r="V45" s="28">
        <f t="shared" si="17"/>
        <v>2.8133333333333335</v>
      </c>
      <c r="W45" s="29">
        <f t="shared" si="20"/>
        <v>0.14028730282207799</v>
      </c>
      <c r="X45" s="28">
        <f t="shared" si="18"/>
        <v>2.9794666666666667</v>
      </c>
      <c r="Y45" s="29">
        <f t="shared" si="21"/>
        <v>0.18322765507425573</v>
      </c>
      <c r="Z45" s="29">
        <f t="shared" si="0"/>
        <v>2.4997333333333334</v>
      </c>
      <c r="AA45" s="29">
        <f t="shared" si="3"/>
        <v>2.6969188801702237E-2</v>
      </c>
      <c r="AB45" s="28">
        <f t="shared" si="1"/>
        <v>2.8133333333333335</v>
      </c>
      <c r="AC45" s="28">
        <f t="shared" si="2"/>
        <v>6.6924999999999998E-2</v>
      </c>
    </row>
    <row r="46" spans="17:29" ht="15" customHeight="1" x14ac:dyDescent="0.45">
      <c r="Q46" s="29"/>
      <c r="R46" s="28">
        <f t="shared" si="15"/>
        <v>2.5376000000000003</v>
      </c>
      <c r="S46" s="29">
        <f t="shared" si="19"/>
        <v>2.7671510245258518E-2</v>
      </c>
      <c r="T46" s="28">
        <f t="shared" si="16"/>
        <v>2.5712000000000002</v>
      </c>
      <c r="U46" s="29">
        <f t="shared" si="19"/>
        <v>3.8236205474657441E-2</v>
      </c>
      <c r="V46" s="28">
        <f t="shared" si="17"/>
        <v>2.84</v>
      </c>
      <c r="W46" s="29">
        <f t="shared" si="20"/>
        <v>0.13766516804297504</v>
      </c>
      <c r="X46" s="28">
        <f t="shared" si="18"/>
        <v>2.9824000000000002</v>
      </c>
      <c r="Y46" s="29">
        <f t="shared" si="21"/>
        <v>0.18286740596243051</v>
      </c>
      <c r="Z46" s="29">
        <f t="shared" si="0"/>
        <v>2.5712000000000002</v>
      </c>
      <c r="AA46" s="29">
        <f t="shared" si="3"/>
        <v>2.5490803649771628E-2</v>
      </c>
      <c r="AB46" s="28">
        <f t="shared" si="1"/>
        <v>2.84</v>
      </c>
      <c r="AC46" s="28">
        <f t="shared" si="2"/>
        <v>6.6924999999999998E-2</v>
      </c>
    </row>
    <row r="47" spans="17:29" ht="15" customHeight="1" x14ac:dyDescent="0.45">
      <c r="Q47" s="29"/>
      <c r="R47" s="28">
        <f t="shared" si="15"/>
        <v>2.6146666666666665</v>
      </c>
      <c r="S47" s="29">
        <f t="shared" si="19"/>
        <v>2.6064328060158962E-2</v>
      </c>
      <c r="T47" s="28">
        <f t="shared" si="16"/>
        <v>2.6426666666666669</v>
      </c>
      <c r="U47" s="29">
        <f t="shared" si="19"/>
        <v>3.619609605832564E-2</v>
      </c>
      <c r="V47" s="28">
        <f t="shared" si="17"/>
        <v>2.8666666666666667</v>
      </c>
      <c r="W47" s="29">
        <f t="shared" si="20"/>
        <v>0.13511586823021601</v>
      </c>
      <c r="X47" s="28">
        <f t="shared" si="18"/>
        <v>2.9853333333333336</v>
      </c>
      <c r="Y47" s="29">
        <f t="shared" si="21"/>
        <v>0.18250821825115551</v>
      </c>
      <c r="Z47" s="29">
        <f t="shared" si="0"/>
        <v>2.6426666666666669</v>
      </c>
      <c r="AA47" s="29">
        <f t="shared" si="3"/>
        <v>2.4130730705550427E-2</v>
      </c>
      <c r="AB47" s="28">
        <f t="shared" si="1"/>
        <v>2.8666666666666667</v>
      </c>
      <c r="AC47" s="28">
        <f t="shared" si="2"/>
        <v>6.6924999999999998E-2</v>
      </c>
    </row>
    <row r="48" spans="17:29" ht="15" customHeight="1" x14ac:dyDescent="0.45">
      <c r="Q48" s="29"/>
      <c r="R48" s="28">
        <f t="shared" si="15"/>
        <v>2.6917333333333335</v>
      </c>
      <c r="S48" s="29">
        <f t="shared" si="19"/>
        <v>2.4593204918503173E-2</v>
      </c>
      <c r="T48" s="28">
        <f t="shared" si="16"/>
        <v>2.7141333333333333</v>
      </c>
      <c r="U48" s="29">
        <f t="shared" si="19"/>
        <v>3.4315011437652192E-2</v>
      </c>
      <c r="V48" s="28">
        <f t="shared" si="17"/>
        <v>2.8933333333333335</v>
      </c>
      <c r="W48" s="29">
        <f t="shared" si="20"/>
        <v>0.1326367306364912</v>
      </c>
      <c r="X48" s="28">
        <f t="shared" si="18"/>
        <v>2.9882666666666666</v>
      </c>
      <c r="Y48" s="29">
        <f t="shared" si="21"/>
        <v>0.18215008777492162</v>
      </c>
      <c r="Z48" s="29">
        <f t="shared" si="0"/>
        <v>2.7141333333333333</v>
      </c>
      <c r="AA48" s="29">
        <f t="shared" si="3"/>
        <v>2.2876674291768127E-2</v>
      </c>
      <c r="AB48" s="28">
        <f t="shared" si="1"/>
        <v>2.8933333333333335</v>
      </c>
      <c r="AC48" s="28">
        <f t="shared" si="2"/>
        <v>6.6924999999999998E-2</v>
      </c>
    </row>
    <row r="49" spans="17:29" ht="15" customHeight="1" x14ac:dyDescent="0.45">
      <c r="Q49" s="29"/>
      <c r="R49" s="28">
        <f t="shared" si="15"/>
        <v>2.7688000000000001</v>
      </c>
      <c r="S49" s="29">
        <f t="shared" si="19"/>
        <v>2.324320546247147E-2</v>
      </c>
      <c r="T49" s="28">
        <f t="shared" si="16"/>
        <v>2.7856000000000001</v>
      </c>
      <c r="U49" s="29">
        <f t="shared" si="19"/>
        <v>3.2576843242336194E-2</v>
      </c>
      <c r="V49" s="28">
        <f t="shared" si="17"/>
        <v>2.92</v>
      </c>
      <c r="W49" s="29">
        <f t="shared" si="20"/>
        <v>0.13022520399786777</v>
      </c>
      <c r="X49" s="28">
        <f t="shared" si="18"/>
        <v>2.9912000000000001</v>
      </c>
      <c r="Y49" s="29">
        <f t="shared" si="21"/>
        <v>0.18179301038863427</v>
      </c>
      <c r="Z49" s="29">
        <f t="shared" si="0"/>
        <v>2.7856000000000001</v>
      </c>
      <c r="AA49" s="29">
        <f t="shared" si="3"/>
        <v>2.1717895494890796E-2</v>
      </c>
      <c r="AB49" s="28">
        <f t="shared" si="1"/>
        <v>2.92</v>
      </c>
      <c r="AC49" s="28">
        <f t="shared" si="2"/>
        <v>6.6924999999999998E-2</v>
      </c>
    </row>
    <row r="50" spans="17:29" ht="15" customHeight="1" x14ac:dyDescent="0.45">
      <c r="Q50" s="29"/>
      <c r="R50" s="28">
        <f t="shared" si="15"/>
        <v>2.8458666666666668</v>
      </c>
      <c r="S50" s="29">
        <f t="shared" si="19"/>
        <v>2.2001388817770445E-2</v>
      </c>
      <c r="T50" s="28">
        <f t="shared" si="16"/>
        <v>2.8570666666666669</v>
      </c>
      <c r="U50" s="29">
        <f t="shared" si="19"/>
        <v>3.0967472242094153E-2</v>
      </c>
      <c r="V50" s="28">
        <f t="shared" si="17"/>
        <v>2.9466666666666668</v>
      </c>
      <c r="W50" s="29">
        <f t="shared" si="20"/>
        <v>0.12787885196743995</v>
      </c>
      <c r="X50" s="28">
        <f t="shared" si="18"/>
        <v>2.9941333333333335</v>
      </c>
      <c r="Y50" s="29">
        <f t="shared" si="21"/>
        <v>0.18143698196749364</v>
      </c>
      <c r="Z50" s="29">
        <f t="shared" si="0"/>
        <v>2.8570666666666669</v>
      </c>
      <c r="AA50" s="29">
        <f t="shared" si="3"/>
        <v>2.0644981494729434E-2</v>
      </c>
      <c r="AB50" s="28">
        <f t="shared" si="1"/>
        <v>2.9466666666666668</v>
      </c>
      <c r="AC50" s="28">
        <f t="shared" si="2"/>
        <v>6.6924999999999998E-2</v>
      </c>
    </row>
    <row r="51" spans="17:29" ht="15" customHeight="1" x14ac:dyDescent="0.45">
      <c r="Q51" s="29"/>
      <c r="R51" s="28">
        <f t="shared" si="15"/>
        <v>2.9229333333333329</v>
      </c>
      <c r="S51" s="29">
        <f t="shared" si="19"/>
        <v>2.0856497310876746E-2</v>
      </c>
      <c r="T51" s="28">
        <f t="shared" si="16"/>
        <v>2.9285333333333332</v>
      </c>
      <c r="U51" s="29">
        <f t="shared" si="19"/>
        <v>2.94744807102078E-2</v>
      </c>
      <c r="V51" s="28">
        <f t="shared" si="17"/>
        <v>2.9733333333333332</v>
      </c>
      <c r="W51" s="29">
        <f t="shared" si="20"/>
        <v>0.12559534695935443</v>
      </c>
      <c r="X51" s="28">
        <f t="shared" si="18"/>
        <v>2.9970666666666665</v>
      </c>
      <c r="Y51" s="29">
        <f t="shared" si="21"/>
        <v>0.18108199840687544</v>
      </c>
      <c r="Z51" s="29">
        <f t="shared" si="0"/>
        <v>2.9285333333333332</v>
      </c>
      <c r="AA51" s="29">
        <f t="shared" si="3"/>
        <v>1.9649653806805199E-2</v>
      </c>
      <c r="AB51" s="28">
        <f t="shared" si="1"/>
        <v>2.9733333333333332</v>
      </c>
      <c r="AC51" s="28">
        <f t="shared" si="2"/>
        <v>6.6924999999999998E-2</v>
      </c>
    </row>
    <row r="52" spans="17:29" ht="15" customHeight="1" x14ac:dyDescent="0.45">
      <c r="Q52" s="42">
        <v>3</v>
      </c>
      <c r="R52" s="28">
        <f>$Q$52</f>
        <v>3</v>
      </c>
      <c r="S52" s="29">
        <f t="shared" si="19"/>
        <v>1.9798700425922081E-2</v>
      </c>
      <c r="T52" s="28">
        <f>$Q$52</f>
        <v>3</v>
      </c>
      <c r="U52" s="29">
        <f t="shared" si="19"/>
        <v>2.8086912168340947E-2</v>
      </c>
      <c r="V52" s="28">
        <f>$Q$52</f>
        <v>3</v>
      </c>
      <c r="W52" s="29">
        <f t="shared" si="20"/>
        <v>0.12337246437415773</v>
      </c>
      <c r="X52" s="28">
        <f>$Q$52</f>
        <v>3</v>
      </c>
      <c r="Y52" s="29">
        <f t="shared" si="21"/>
        <v>0.18072805562221256</v>
      </c>
      <c r="Z52" s="29">
        <f t="shared" si="0"/>
        <v>3</v>
      </c>
      <c r="AA52" s="29">
        <f t="shared" si="3"/>
        <v>1.8724608112227297E-2</v>
      </c>
      <c r="AB52" s="28">
        <f t="shared" si="1"/>
        <v>3</v>
      </c>
      <c r="AC52" s="28">
        <f t="shared" si="2"/>
        <v>6.6924999999999998E-2</v>
      </c>
    </row>
    <row r="53" spans="17:29" x14ac:dyDescent="0.45">
      <c r="Q53" s="43"/>
      <c r="R53" s="28"/>
      <c r="S53" s="29"/>
      <c r="T53" s="28"/>
      <c r="U53" s="29"/>
      <c r="V53" s="28"/>
      <c r="W53" s="29"/>
      <c r="X53" s="28"/>
      <c r="Y53" s="29"/>
      <c r="Z53" s="29"/>
      <c r="AA53" s="29"/>
      <c r="AB53" s="28"/>
      <c r="AC53" s="29"/>
    </row>
  </sheetData>
  <sheetProtection sheet="1" objects="1" scenarios="1" selectLockedCells="1"/>
  <protectedRanges>
    <protectedRange sqref="B12:B13 E12" name="Intervallo5_1_1"/>
  </protectedRanges>
  <mergeCells count="1">
    <mergeCell ref="B3:E3"/>
  </mergeCells>
  <dataValidations count="2">
    <dataValidation type="list" allowBlank="1" showInputMessage="1" showErrorMessage="1" sqref="B14">
      <formula1>"A,B,C,D,E"</formula1>
    </dataValidation>
    <dataValidation type="list" allowBlank="1" showInputMessage="1" showErrorMessage="1" sqref="B12">
      <formula1>"T1,T2,T3,T4"</formula1>
    </dataValidation>
  </dataValidations>
  <pageMargins left="0.7" right="0.7" top="0.75" bottom="0.75" header="0.3" footer="0.3"/>
  <pageSetup paperSize="9" orientation="portrait" r:id="rId1"/>
  <ignoredErrors>
    <ignoredError sqref="T7:X7 S8:W37 S38:W52 AB5 X8:X31 X37 X32:X36 X38:X52" 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>
      <selection activeCell="A2" sqref="A2"/>
    </sheetView>
  </sheetViews>
  <sheetFormatPr defaultColWidth="9" defaultRowHeight="14.25" x14ac:dyDescent="0.45"/>
  <cols>
    <col min="1" max="16384" width="9" style="14"/>
  </cols>
  <sheetData>
    <row r="1" spans="1:12" x14ac:dyDescent="0.45">
      <c r="A1" s="45" t="s">
        <v>71</v>
      </c>
    </row>
    <row r="3" spans="1:12" x14ac:dyDescent="0.45">
      <c r="A3" s="45" t="s">
        <v>93</v>
      </c>
      <c r="G3" s="3" t="s">
        <v>80</v>
      </c>
    </row>
    <row r="5" spans="1:12" x14ac:dyDescent="0.45">
      <c r="A5" s="9" t="s">
        <v>15</v>
      </c>
      <c r="B5" s="15" t="s">
        <v>85</v>
      </c>
      <c r="C5" s="9" t="s">
        <v>17</v>
      </c>
      <c r="G5" s="46" t="s">
        <v>75</v>
      </c>
      <c r="I5" s="47" t="s">
        <v>76</v>
      </c>
      <c r="K5" s="15" t="s">
        <v>81</v>
      </c>
      <c r="L5" s="15">
        <f>IF(I5="A",4.5,3)</f>
        <v>4.5</v>
      </c>
    </row>
    <row r="6" spans="1:12" x14ac:dyDescent="0.45">
      <c r="A6" s="9" t="str">
        <f>IF(Masse!K6="","",Masse!K6)</f>
        <v/>
      </c>
      <c r="B6" s="13" t="str">
        <f>IF(Masse!I6="","",Masse!I6)</f>
        <v/>
      </c>
      <c r="C6" s="11" t="str">
        <f>IF(Masse!N6="","",Masse!N6)</f>
        <v/>
      </c>
      <c r="G6" s="46" t="s">
        <v>77</v>
      </c>
      <c r="I6" s="47" t="s">
        <v>78</v>
      </c>
      <c r="K6" s="48" t="s">
        <v>82</v>
      </c>
      <c r="L6" s="15">
        <f>IF(I6="si",1.3,1.15)</f>
        <v>1.3</v>
      </c>
    </row>
    <row r="7" spans="1:12" x14ac:dyDescent="0.45">
      <c r="A7" s="9" t="str">
        <f>IF(Masse!K7="","",Masse!K7)</f>
        <v/>
      </c>
      <c r="B7" s="13" t="str">
        <f>IF(Masse!I7="","",Masse!I7)</f>
        <v/>
      </c>
      <c r="C7" s="11" t="str">
        <f>IF(Masse!N7="","",Masse!N7)</f>
        <v/>
      </c>
      <c r="G7" s="46" t="s">
        <v>79</v>
      </c>
      <c r="I7" s="47" t="s">
        <v>78</v>
      </c>
      <c r="K7" s="48" t="s">
        <v>83</v>
      </c>
      <c r="L7" s="15">
        <f>IF(I7="si",1,0.8)</f>
        <v>1</v>
      </c>
    </row>
    <row r="8" spans="1:12" x14ac:dyDescent="0.45">
      <c r="A8" s="9" t="str">
        <f>IF(Masse!K8="","",Masse!K8)</f>
        <v>5 + torrino</v>
      </c>
      <c r="B8" s="13">
        <f>IF(Masse!I8="","",Masse!I8)</f>
        <v>16.399999999999999</v>
      </c>
      <c r="C8" s="11">
        <f>IF(Masse!N8="","",Masse!N8)</f>
        <v>3419</v>
      </c>
    </row>
    <row r="9" spans="1:12" ht="14.65" x14ac:dyDescent="0.45">
      <c r="A9" s="9">
        <f>IF(Masse!K9="","",Masse!K9)</f>
        <v>4</v>
      </c>
      <c r="B9" s="13">
        <f>IF(Masse!I9="","",Masse!I9)</f>
        <v>13.2</v>
      </c>
      <c r="C9" s="11">
        <f>IF(Masse!N9="","",Masse!N9)</f>
        <v>3235</v>
      </c>
      <c r="H9" s="68" t="s">
        <v>171</v>
      </c>
      <c r="I9" s="49">
        <f>L5*L6*L7</f>
        <v>5.8500000000000005</v>
      </c>
    </row>
    <row r="10" spans="1:12" x14ac:dyDescent="0.45">
      <c r="A10" s="9">
        <f>IF(Masse!K10="","",Masse!K10)</f>
        <v>3</v>
      </c>
      <c r="B10" s="13">
        <f>IF(Masse!I10="","",Masse!I10)</f>
        <v>10</v>
      </c>
      <c r="C10" s="11">
        <f>IF(Masse!N10="","",Masse!N10)</f>
        <v>3235</v>
      </c>
    </row>
    <row r="11" spans="1:12" x14ac:dyDescent="0.45">
      <c r="A11" s="9">
        <f>IF(Masse!K11="","",Masse!K11)</f>
        <v>2</v>
      </c>
      <c r="B11" s="13">
        <f>IF(Masse!I11="","",Masse!I11)</f>
        <v>6.8000000000000007</v>
      </c>
      <c r="C11" s="11">
        <f>IF(Masse!N11="","",Masse!N11)</f>
        <v>3235</v>
      </c>
      <c r="H11" s="68" t="s">
        <v>170</v>
      </c>
    </row>
    <row r="12" spans="1:12" ht="14.65" x14ac:dyDescent="0.45">
      <c r="A12" s="9">
        <f>IF(Masse!K12="","",Masse!K12)</f>
        <v>1</v>
      </c>
      <c r="B12" s="13">
        <f>IF(Masse!I12="","",Masse!I12)</f>
        <v>3.6</v>
      </c>
      <c r="C12" s="11">
        <f>IF(Masse!N12="","",Masse!N12)</f>
        <v>2632</v>
      </c>
      <c r="H12" s="68" t="s">
        <v>172</v>
      </c>
      <c r="I12" s="67">
        <f>'Spettri di risposta'!D26</f>
        <v>4.8858393660308961</v>
      </c>
    </row>
    <row r="13" spans="1:12" x14ac:dyDescent="0.45">
      <c r="A13" s="9" t="s">
        <v>25</v>
      </c>
      <c r="B13" s="15"/>
      <c r="C13" s="44">
        <f>SUM(C6:C12)</f>
        <v>15756</v>
      </c>
    </row>
    <row r="14" spans="1:12" x14ac:dyDescent="0.45">
      <c r="B14" s="15"/>
      <c r="G14" s="46" t="s">
        <v>168</v>
      </c>
      <c r="H14" s="15" t="s">
        <v>84</v>
      </c>
      <c r="I14" s="47">
        <v>5.85</v>
      </c>
      <c r="J14" s="52" t="str">
        <f>IF(I14&lt;&gt;'Spettri di risposta'!B29,"inserire il valore nel foglio Spettri di risposta","")</f>
        <v/>
      </c>
    </row>
    <row r="15" spans="1:12" x14ac:dyDescent="0.45">
      <c r="G15" s="69" t="str">
        <f>IF(I14&gt;I9,"valore non consentito dalla normativa",IF(I14&gt;I12,"valore consentito dalla normativa, ma possibili danni strutturali allo SLD",""))</f>
        <v>valore consentito dalla normativa, ma possibili danni strutturali allo SLD</v>
      </c>
    </row>
    <row r="17" spans="1:13" x14ac:dyDescent="0.45">
      <c r="A17" s="3" t="s">
        <v>86</v>
      </c>
      <c r="C17" s="14" t="s">
        <v>74</v>
      </c>
      <c r="G17" s="3" t="s">
        <v>94</v>
      </c>
    </row>
    <row r="19" spans="1:13" ht="14.65" thickBot="1" x14ac:dyDescent="0.5">
      <c r="A19" s="9" t="s">
        <v>87</v>
      </c>
      <c r="B19" s="13">
        <f>MAX(B6:B12)</f>
        <v>16.399999999999999</v>
      </c>
      <c r="C19" s="8" t="s">
        <v>32</v>
      </c>
      <c r="G19" s="1" t="s">
        <v>15</v>
      </c>
      <c r="H19" s="1" t="s">
        <v>95</v>
      </c>
      <c r="I19" s="1" t="s">
        <v>85</v>
      </c>
      <c r="J19" s="1" t="s">
        <v>96</v>
      </c>
      <c r="K19" s="1" t="s">
        <v>97</v>
      </c>
      <c r="L19" s="1" t="s">
        <v>98</v>
      </c>
      <c r="M19"/>
    </row>
    <row r="20" spans="1:13" x14ac:dyDescent="0.45">
      <c r="A20" s="9" t="s">
        <v>33</v>
      </c>
      <c r="B20" s="9">
        <v>7.4999999999999997E-2</v>
      </c>
      <c r="C20" s="8"/>
      <c r="G20" s="15" t="str">
        <f>A6</f>
        <v/>
      </c>
      <c r="H20" s="17" t="str">
        <f>C6</f>
        <v/>
      </c>
      <c r="I20" s="16" t="str">
        <f>B6</f>
        <v/>
      </c>
      <c r="J20" s="71" t="str">
        <f t="shared" ref="J20:J25" si="0">IF(I20="","",H20*I20)</f>
        <v/>
      </c>
      <c r="K20" s="54" t="str">
        <f t="shared" ref="K20:K25" si="1">IF(I20="","",J20/$J$27*$H$29)</f>
        <v/>
      </c>
      <c r="L20" s="135" t="str">
        <f>IF(G20="","",K20)</f>
        <v/>
      </c>
    </row>
    <row r="21" spans="1:13" x14ac:dyDescent="0.45">
      <c r="A21" s="9" t="s">
        <v>30</v>
      </c>
      <c r="B21" s="50">
        <f>ROUND(B20*B19^0.75,3)</f>
        <v>0.61099999999999999</v>
      </c>
      <c r="C21" s="8" t="s">
        <v>34</v>
      </c>
      <c r="D21" s="52" t="str">
        <f>IF(B21&lt;&gt;'Spettri di risposta'!B23,"inserire il valore nel foglio Spettri di risposta","")</f>
        <v/>
      </c>
      <c r="G21" s="15" t="str">
        <f t="shared" ref="G21:G26" si="2">A7</f>
        <v/>
      </c>
      <c r="H21" s="17" t="str">
        <f t="shared" ref="H21:H26" si="3">C7</f>
        <v/>
      </c>
      <c r="I21" s="16" t="str">
        <f t="shared" ref="I21:I26" si="4">B7</f>
        <v/>
      </c>
      <c r="J21" s="71" t="str">
        <f t="shared" si="0"/>
        <v/>
      </c>
      <c r="K21" s="54" t="str">
        <f t="shared" si="1"/>
        <v/>
      </c>
      <c r="L21" s="136" t="str">
        <f>IF(G21="","",IF(L20="",0,L20)+K21)</f>
        <v/>
      </c>
    </row>
    <row r="22" spans="1:13" x14ac:dyDescent="0.45">
      <c r="G22" s="15" t="str">
        <f t="shared" si="2"/>
        <v>5 + torrino</v>
      </c>
      <c r="H22" s="17">
        <f t="shared" si="3"/>
        <v>3419</v>
      </c>
      <c r="I22" s="16">
        <f t="shared" si="4"/>
        <v>16.399999999999999</v>
      </c>
      <c r="J22" s="71">
        <f t="shared" si="0"/>
        <v>56071.6</v>
      </c>
      <c r="K22" s="54">
        <f t="shared" si="1"/>
        <v>549.5950517417316</v>
      </c>
      <c r="L22" s="136">
        <f t="shared" ref="L22:L26" si="5">IF(G22="","",IF(L21="",0,L21)+K22)</f>
        <v>549.5950517417316</v>
      </c>
    </row>
    <row r="23" spans="1:13" x14ac:dyDescent="0.45">
      <c r="G23" s="15">
        <f t="shared" si="2"/>
        <v>4</v>
      </c>
      <c r="H23" s="17">
        <f t="shared" si="3"/>
        <v>3235</v>
      </c>
      <c r="I23" s="16">
        <f t="shared" si="4"/>
        <v>13.2</v>
      </c>
      <c r="J23" s="71">
        <f t="shared" si="0"/>
        <v>42702</v>
      </c>
      <c r="K23" s="54">
        <f t="shared" si="1"/>
        <v>418.55070837064437</v>
      </c>
      <c r="L23" s="136">
        <f t="shared" si="5"/>
        <v>968.14576011237591</v>
      </c>
    </row>
    <row r="24" spans="1:13" x14ac:dyDescent="0.45">
      <c r="A24" s="51" t="s">
        <v>173</v>
      </c>
      <c r="G24" s="15">
        <f t="shared" si="2"/>
        <v>3</v>
      </c>
      <c r="H24" s="17">
        <f t="shared" si="3"/>
        <v>3235</v>
      </c>
      <c r="I24" s="16">
        <f t="shared" si="4"/>
        <v>10</v>
      </c>
      <c r="J24" s="71">
        <f t="shared" si="0"/>
        <v>32350</v>
      </c>
      <c r="K24" s="54">
        <f t="shared" si="1"/>
        <v>317.08386997776091</v>
      </c>
      <c r="L24" s="136">
        <f t="shared" si="5"/>
        <v>1285.2296300901369</v>
      </c>
    </row>
    <row r="25" spans="1:13" x14ac:dyDescent="0.45">
      <c r="G25" s="15">
        <f t="shared" si="2"/>
        <v>2</v>
      </c>
      <c r="H25" s="17">
        <f t="shared" si="3"/>
        <v>3235</v>
      </c>
      <c r="I25" s="16">
        <f t="shared" si="4"/>
        <v>6.8000000000000007</v>
      </c>
      <c r="J25" s="71">
        <f t="shared" si="0"/>
        <v>21998.000000000004</v>
      </c>
      <c r="K25" s="54">
        <f t="shared" si="1"/>
        <v>215.61703158487745</v>
      </c>
      <c r="L25" s="136">
        <f t="shared" si="5"/>
        <v>1500.8466616750143</v>
      </c>
    </row>
    <row r="26" spans="1:13" ht="15.4" thickBot="1" x14ac:dyDescent="0.5">
      <c r="A26" s="14" t="s">
        <v>88</v>
      </c>
      <c r="B26" s="23" t="s">
        <v>89</v>
      </c>
      <c r="C26" s="49">
        <f>ROUND('Spettri di risposta'!G29,3)</f>
        <v>0.11899999999999999</v>
      </c>
      <c r="D26" s="14" t="s">
        <v>90</v>
      </c>
      <c r="G26" s="15">
        <f t="shared" si="2"/>
        <v>1</v>
      </c>
      <c r="H26" s="17">
        <f t="shared" si="3"/>
        <v>2632</v>
      </c>
      <c r="I26" s="16">
        <f t="shared" si="4"/>
        <v>3.6</v>
      </c>
      <c r="J26" s="71">
        <f>IF(I26="","",H26*I26)</f>
        <v>9475.2000000000007</v>
      </c>
      <c r="K26" s="54">
        <f>IF(I26="","",J26/$J$27*$H$29)</f>
        <v>92.872738324985491</v>
      </c>
      <c r="L26" s="137">
        <f t="shared" si="5"/>
        <v>1593.7193999999997</v>
      </c>
    </row>
    <row r="27" spans="1:13" ht="15" x14ac:dyDescent="0.45">
      <c r="A27" s="14" t="s">
        <v>91</v>
      </c>
      <c r="B27" s="23" t="s">
        <v>92</v>
      </c>
      <c r="C27" s="49">
        <f>ROUND('Spettri di risposta'!G24,3)</f>
        <v>0.215</v>
      </c>
      <c r="D27" s="14" t="s">
        <v>90</v>
      </c>
      <c r="G27" s="1" t="s">
        <v>25</v>
      </c>
      <c r="H27" s="70">
        <f>SUM(H20:H26)</f>
        <v>15756</v>
      </c>
      <c r="I27" s="1"/>
      <c r="J27" s="70">
        <f>SUM(J20:J26)</f>
        <v>162596.80000000002</v>
      </c>
      <c r="K27" s="55">
        <f>SUM(K22:K26)</f>
        <v>1593.7193999999997</v>
      </c>
      <c r="L27" s="1"/>
      <c r="M27"/>
    </row>
    <row r="28" spans="1:13" x14ac:dyDescent="0.45">
      <c r="G28"/>
      <c r="H28"/>
      <c r="I28"/>
      <c r="J28"/>
      <c r="K28"/>
      <c r="L28"/>
      <c r="M28"/>
    </row>
    <row r="29" spans="1:13" x14ac:dyDescent="0.45">
      <c r="A29" s="14" t="s">
        <v>100</v>
      </c>
      <c r="C29" s="56">
        <f>C27/C26</f>
        <v>1.8067226890756303</v>
      </c>
      <c r="D29" s="69" t="str">
        <f>IF(C29&gt;1.5," &gt; 1.5","")</f>
        <v xml:space="preserve"> &gt; 1.5</v>
      </c>
      <c r="G29" s="1" t="s">
        <v>99</v>
      </c>
      <c r="H29" s="53">
        <f>H27*C26*0.85</f>
        <v>1593.7194</v>
      </c>
      <c r="I29"/>
      <c r="J29"/>
      <c r="K29"/>
      <c r="L29" s="108" t="s">
        <v>186</v>
      </c>
      <c r="M29"/>
    </row>
    <row r="30" spans="1:13" x14ac:dyDescent="0.45">
      <c r="L30" s="108" t="s">
        <v>187</v>
      </c>
    </row>
  </sheetData>
  <dataValidations disablePrompts="1" count="2">
    <dataValidation type="list" allowBlank="1" showInputMessage="1" showErrorMessage="1" sqref="I5">
      <formula1>"A,B"</formula1>
    </dataValidation>
    <dataValidation type="list" allowBlank="1" showInputMessage="1" showErrorMessage="1" sqref="I6:I7">
      <formula1>"si,no"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workbookViewId="0">
      <selection activeCell="A2" sqref="A2"/>
    </sheetView>
  </sheetViews>
  <sheetFormatPr defaultRowHeight="14.25" x14ac:dyDescent="0.45"/>
  <cols>
    <col min="1" max="1" width="15.73046875" style="8" customWidth="1"/>
    <col min="2" max="2" width="8.73046875" style="8" customWidth="1"/>
    <col min="3" max="4" width="6.73046875" style="8" customWidth="1"/>
    <col min="5" max="13" width="9.73046875" style="8" customWidth="1"/>
    <col min="14" max="14" width="2.73046875" style="8" customWidth="1"/>
    <col min="15" max="256" width="9" style="8"/>
    <col min="257" max="257" width="15.73046875" style="8" customWidth="1"/>
    <col min="258" max="265" width="8.73046875" style="8" customWidth="1"/>
    <col min="266" max="512" width="9" style="8"/>
    <col min="513" max="513" width="15.73046875" style="8" customWidth="1"/>
    <col min="514" max="521" width="8.73046875" style="8" customWidth="1"/>
    <col min="522" max="768" width="9" style="8"/>
    <col min="769" max="769" width="15.73046875" style="8" customWidth="1"/>
    <col min="770" max="777" width="8.73046875" style="8" customWidth="1"/>
    <col min="778" max="1024" width="9" style="8"/>
    <col min="1025" max="1025" width="15.73046875" style="8" customWidth="1"/>
    <col min="1026" max="1033" width="8.73046875" style="8" customWidth="1"/>
    <col min="1034" max="1280" width="9" style="8"/>
    <col min="1281" max="1281" width="15.73046875" style="8" customWidth="1"/>
    <col min="1282" max="1289" width="8.73046875" style="8" customWidth="1"/>
    <col min="1290" max="1536" width="9" style="8"/>
    <col min="1537" max="1537" width="15.73046875" style="8" customWidth="1"/>
    <col min="1538" max="1545" width="8.73046875" style="8" customWidth="1"/>
    <col min="1546" max="1792" width="9" style="8"/>
    <col min="1793" max="1793" width="15.73046875" style="8" customWidth="1"/>
    <col min="1794" max="1801" width="8.73046875" style="8" customWidth="1"/>
    <col min="1802" max="2048" width="9" style="8"/>
    <col min="2049" max="2049" width="15.73046875" style="8" customWidth="1"/>
    <col min="2050" max="2057" width="8.73046875" style="8" customWidth="1"/>
    <col min="2058" max="2304" width="9" style="8"/>
    <col min="2305" max="2305" width="15.73046875" style="8" customWidth="1"/>
    <col min="2306" max="2313" width="8.73046875" style="8" customWidth="1"/>
    <col min="2314" max="2560" width="9" style="8"/>
    <col min="2561" max="2561" width="15.73046875" style="8" customWidth="1"/>
    <col min="2562" max="2569" width="8.73046875" style="8" customWidth="1"/>
    <col min="2570" max="2816" width="9" style="8"/>
    <col min="2817" max="2817" width="15.73046875" style="8" customWidth="1"/>
    <col min="2818" max="2825" width="8.73046875" style="8" customWidth="1"/>
    <col min="2826" max="3072" width="9" style="8"/>
    <col min="3073" max="3073" width="15.73046875" style="8" customWidth="1"/>
    <col min="3074" max="3081" width="8.73046875" style="8" customWidth="1"/>
    <col min="3082" max="3328" width="9" style="8"/>
    <col min="3329" max="3329" width="15.73046875" style="8" customWidth="1"/>
    <col min="3330" max="3337" width="8.73046875" style="8" customWidth="1"/>
    <col min="3338" max="3584" width="9" style="8"/>
    <col min="3585" max="3585" width="15.73046875" style="8" customWidth="1"/>
    <col min="3586" max="3593" width="8.73046875" style="8" customWidth="1"/>
    <col min="3594" max="3840" width="9" style="8"/>
    <col min="3841" max="3841" width="15.73046875" style="8" customWidth="1"/>
    <col min="3842" max="3849" width="8.73046875" style="8" customWidth="1"/>
    <col min="3850" max="4096" width="9" style="8"/>
    <col min="4097" max="4097" width="15.73046875" style="8" customWidth="1"/>
    <col min="4098" max="4105" width="8.73046875" style="8" customWidth="1"/>
    <col min="4106" max="4352" width="9" style="8"/>
    <col min="4353" max="4353" width="15.73046875" style="8" customWidth="1"/>
    <col min="4354" max="4361" width="8.73046875" style="8" customWidth="1"/>
    <col min="4362" max="4608" width="9" style="8"/>
    <col min="4609" max="4609" width="15.73046875" style="8" customWidth="1"/>
    <col min="4610" max="4617" width="8.73046875" style="8" customWidth="1"/>
    <col min="4618" max="4864" width="9" style="8"/>
    <col min="4865" max="4865" width="15.73046875" style="8" customWidth="1"/>
    <col min="4866" max="4873" width="8.73046875" style="8" customWidth="1"/>
    <col min="4874" max="5120" width="9" style="8"/>
    <col min="5121" max="5121" width="15.73046875" style="8" customWidth="1"/>
    <col min="5122" max="5129" width="8.73046875" style="8" customWidth="1"/>
    <col min="5130" max="5376" width="9" style="8"/>
    <col min="5377" max="5377" width="15.73046875" style="8" customWidth="1"/>
    <col min="5378" max="5385" width="8.73046875" style="8" customWidth="1"/>
    <col min="5386" max="5632" width="9" style="8"/>
    <col min="5633" max="5633" width="15.73046875" style="8" customWidth="1"/>
    <col min="5634" max="5641" width="8.73046875" style="8" customWidth="1"/>
    <col min="5642" max="5888" width="9" style="8"/>
    <col min="5889" max="5889" width="15.73046875" style="8" customWidth="1"/>
    <col min="5890" max="5897" width="8.73046875" style="8" customWidth="1"/>
    <col min="5898" max="6144" width="9" style="8"/>
    <col min="6145" max="6145" width="15.73046875" style="8" customWidth="1"/>
    <col min="6146" max="6153" width="8.73046875" style="8" customWidth="1"/>
    <col min="6154" max="6400" width="9" style="8"/>
    <col min="6401" max="6401" width="15.73046875" style="8" customWidth="1"/>
    <col min="6402" max="6409" width="8.73046875" style="8" customWidth="1"/>
    <col min="6410" max="6656" width="9" style="8"/>
    <col min="6657" max="6657" width="15.73046875" style="8" customWidth="1"/>
    <col min="6658" max="6665" width="8.73046875" style="8" customWidth="1"/>
    <col min="6666" max="6912" width="9" style="8"/>
    <col min="6913" max="6913" width="15.73046875" style="8" customWidth="1"/>
    <col min="6914" max="6921" width="8.73046875" style="8" customWidth="1"/>
    <col min="6922" max="7168" width="9" style="8"/>
    <col min="7169" max="7169" width="15.73046875" style="8" customWidth="1"/>
    <col min="7170" max="7177" width="8.73046875" style="8" customWidth="1"/>
    <col min="7178" max="7424" width="9" style="8"/>
    <col min="7425" max="7425" width="15.73046875" style="8" customWidth="1"/>
    <col min="7426" max="7433" width="8.73046875" style="8" customWidth="1"/>
    <col min="7434" max="7680" width="9" style="8"/>
    <col min="7681" max="7681" width="15.73046875" style="8" customWidth="1"/>
    <col min="7682" max="7689" width="8.73046875" style="8" customWidth="1"/>
    <col min="7690" max="7936" width="9" style="8"/>
    <col min="7937" max="7937" width="15.73046875" style="8" customWidth="1"/>
    <col min="7938" max="7945" width="8.73046875" style="8" customWidth="1"/>
    <col min="7946" max="8192" width="9" style="8"/>
    <col min="8193" max="8193" width="15.73046875" style="8" customWidth="1"/>
    <col min="8194" max="8201" width="8.73046875" style="8" customWidth="1"/>
    <col min="8202" max="8448" width="9" style="8"/>
    <col min="8449" max="8449" width="15.73046875" style="8" customWidth="1"/>
    <col min="8450" max="8457" width="8.73046875" style="8" customWidth="1"/>
    <col min="8458" max="8704" width="9" style="8"/>
    <col min="8705" max="8705" width="15.73046875" style="8" customWidth="1"/>
    <col min="8706" max="8713" width="8.73046875" style="8" customWidth="1"/>
    <col min="8714" max="8960" width="9" style="8"/>
    <col min="8961" max="8961" width="15.73046875" style="8" customWidth="1"/>
    <col min="8962" max="8969" width="8.73046875" style="8" customWidth="1"/>
    <col min="8970" max="9216" width="9" style="8"/>
    <col min="9217" max="9217" width="15.73046875" style="8" customWidth="1"/>
    <col min="9218" max="9225" width="8.73046875" style="8" customWidth="1"/>
    <col min="9226" max="9472" width="9" style="8"/>
    <col min="9473" max="9473" width="15.73046875" style="8" customWidth="1"/>
    <col min="9474" max="9481" width="8.73046875" style="8" customWidth="1"/>
    <col min="9482" max="9728" width="9" style="8"/>
    <col min="9729" max="9729" width="15.73046875" style="8" customWidth="1"/>
    <col min="9730" max="9737" width="8.73046875" style="8" customWidth="1"/>
    <col min="9738" max="9984" width="9" style="8"/>
    <col min="9985" max="9985" width="15.73046875" style="8" customWidth="1"/>
    <col min="9986" max="9993" width="8.73046875" style="8" customWidth="1"/>
    <col min="9994" max="10240" width="9" style="8"/>
    <col min="10241" max="10241" width="15.73046875" style="8" customWidth="1"/>
    <col min="10242" max="10249" width="8.73046875" style="8" customWidth="1"/>
    <col min="10250" max="10496" width="9" style="8"/>
    <col min="10497" max="10497" width="15.73046875" style="8" customWidth="1"/>
    <col min="10498" max="10505" width="8.73046875" style="8" customWidth="1"/>
    <col min="10506" max="10752" width="9" style="8"/>
    <col min="10753" max="10753" width="15.73046875" style="8" customWidth="1"/>
    <col min="10754" max="10761" width="8.73046875" style="8" customWidth="1"/>
    <col min="10762" max="11008" width="9" style="8"/>
    <col min="11009" max="11009" width="15.73046875" style="8" customWidth="1"/>
    <col min="11010" max="11017" width="8.73046875" style="8" customWidth="1"/>
    <col min="11018" max="11264" width="9" style="8"/>
    <col min="11265" max="11265" width="15.73046875" style="8" customWidth="1"/>
    <col min="11266" max="11273" width="8.73046875" style="8" customWidth="1"/>
    <col min="11274" max="11520" width="9" style="8"/>
    <col min="11521" max="11521" width="15.73046875" style="8" customWidth="1"/>
    <col min="11522" max="11529" width="8.73046875" style="8" customWidth="1"/>
    <col min="11530" max="11776" width="9" style="8"/>
    <col min="11777" max="11777" width="15.73046875" style="8" customWidth="1"/>
    <col min="11778" max="11785" width="8.73046875" style="8" customWidth="1"/>
    <col min="11786" max="12032" width="9" style="8"/>
    <col min="12033" max="12033" width="15.73046875" style="8" customWidth="1"/>
    <col min="12034" max="12041" width="8.73046875" style="8" customWidth="1"/>
    <col min="12042" max="12288" width="9" style="8"/>
    <col min="12289" max="12289" width="15.73046875" style="8" customWidth="1"/>
    <col min="12290" max="12297" width="8.73046875" style="8" customWidth="1"/>
    <col min="12298" max="12544" width="9" style="8"/>
    <col min="12545" max="12545" width="15.73046875" style="8" customWidth="1"/>
    <col min="12546" max="12553" width="8.73046875" style="8" customWidth="1"/>
    <col min="12554" max="12800" width="9" style="8"/>
    <col min="12801" max="12801" width="15.73046875" style="8" customWidth="1"/>
    <col min="12802" max="12809" width="8.73046875" style="8" customWidth="1"/>
    <col min="12810" max="13056" width="9" style="8"/>
    <col min="13057" max="13057" width="15.73046875" style="8" customWidth="1"/>
    <col min="13058" max="13065" width="8.73046875" style="8" customWidth="1"/>
    <col min="13066" max="13312" width="9" style="8"/>
    <col min="13313" max="13313" width="15.73046875" style="8" customWidth="1"/>
    <col min="13314" max="13321" width="8.73046875" style="8" customWidth="1"/>
    <col min="13322" max="13568" width="9" style="8"/>
    <col min="13569" max="13569" width="15.73046875" style="8" customWidth="1"/>
    <col min="13570" max="13577" width="8.73046875" style="8" customWidth="1"/>
    <col min="13578" max="13824" width="9" style="8"/>
    <col min="13825" max="13825" width="15.73046875" style="8" customWidth="1"/>
    <col min="13826" max="13833" width="8.73046875" style="8" customWidth="1"/>
    <col min="13834" max="14080" width="9" style="8"/>
    <col min="14081" max="14081" width="15.73046875" style="8" customWidth="1"/>
    <col min="14082" max="14089" width="8.73046875" style="8" customWidth="1"/>
    <col min="14090" max="14336" width="9" style="8"/>
    <col min="14337" max="14337" width="15.73046875" style="8" customWidth="1"/>
    <col min="14338" max="14345" width="8.73046875" style="8" customWidth="1"/>
    <col min="14346" max="14592" width="9" style="8"/>
    <col min="14593" max="14593" width="15.73046875" style="8" customWidth="1"/>
    <col min="14594" max="14601" width="8.73046875" style="8" customWidth="1"/>
    <col min="14602" max="14848" width="9" style="8"/>
    <col min="14849" max="14849" width="15.73046875" style="8" customWidth="1"/>
    <col min="14850" max="14857" width="8.73046875" style="8" customWidth="1"/>
    <col min="14858" max="15104" width="9" style="8"/>
    <col min="15105" max="15105" width="15.73046875" style="8" customWidth="1"/>
    <col min="15106" max="15113" width="8.73046875" style="8" customWidth="1"/>
    <col min="15114" max="15360" width="9" style="8"/>
    <col min="15361" max="15361" width="15.73046875" style="8" customWidth="1"/>
    <col min="15362" max="15369" width="8.73046875" style="8" customWidth="1"/>
    <col min="15370" max="15616" width="9" style="8"/>
    <col min="15617" max="15617" width="15.73046875" style="8" customWidth="1"/>
    <col min="15618" max="15625" width="8.73046875" style="8" customWidth="1"/>
    <col min="15626" max="15872" width="9" style="8"/>
    <col min="15873" max="15873" width="15.73046875" style="8" customWidth="1"/>
    <col min="15874" max="15881" width="8.73046875" style="8" customWidth="1"/>
    <col min="15882" max="16128" width="9" style="8"/>
    <col min="16129" max="16129" width="15.73046875" style="8" customWidth="1"/>
    <col min="16130" max="16137" width="8.73046875" style="8" customWidth="1"/>
    <col min="16138" max="16384" width="9" style="8"/>
  </cols>
  <sheetData>
    <row r="1" spans="1:15" ht="15.75" x14ac:dyDescent="0.5">
      <c r="A1" s="72" t="s">
        <v>101</v>
      </c>
    </row>
    <row r="3" spans="1:15" x14ac:dyDescent="0.45">
      <c r="A3" s="8" t="s">
        <v>165</v>
      </c>
      <c r="H3" s="9" t="str">
        <f>"Classe "&amp;Forze!I5</f>
        <v>Classe A</v>
      </c>
      <c r="J3" s="9" t="s">
        <v>102</v>
      </c>
      <c r="K3" s="9" t="str">
        <f>IF(H3="Classe A","alta","media")</f>
        <v>alta</v>
      </c>
    </row>
    <row r="4" spans="1:15" x14ac:dyDescent="0.45">
      <c r="A4" s="8" t="s">
        <v>166</v>
      </c>
    </row>
    <row r="6" spans="1:15" ht="15.75" x14ac:dyDescent="0.5">
      <c r="A6" s="72" t="s">
        <v>103</v>
      </c>
      <c r="J6" s="8" t="s">
        <v>155</v>
      </c>
    </row>
    <row r="7" spans="1:15" x14ac:dyDescent="0.45">
      <c r="D7" s="80" t="s">
        <v>191</v>
      </c>
      <c r="E7" s="47">
        <v>13</v>
      </c>
      <c r="J7" s="9" t="s">
        <v>204</v>
      </c>
      <c r="K7" s="57">
        <v>4.0999999999999996</v>
      </c>
      <c r="L7" s="8" t="s">
        <v>32</v>
      </c>
    </row>
    <row r="8" spans="1:15" x14ac:dyDescent="0.45">
      <c r="D8" s="73"/>
    </row>
    <row r="9" spans="1:15" x14ac:dyDescent="0.45">
      <c r="A9" s="7" t="s">
        <v>104</v>
      </c>
      <c r="E9" s="88" t="s">
        <v>183</v>
      </c>
      <c r="F9" s="83"/>
      <c r="G9" s="83"/>
      <c r="H9" s="88" t="s">
        <v>123</v>
      </c>
      <c r="I9" s="83"/>
      <c r="J9" s="88" t="s">
        <v>181</v>
      </c>
      <c r="K9" s="83"/>
      <c r="L9" s="83"/>
      <c r="M9" s="83"/>
    </row>
    <row r="10" spans="1:15" ht="14.65" x14ac:dyDescent="0.45">
      <c r="A10" s="74" t="s">
        <v>188</v>
      </c>
      <c r="B10" s="74" t="s">
        <v>174</v>
      </c>
      <c r="C10" s="74" t="s">
        <v>105</v>
      </c>
      <c r="D10" s="74" t="s">
        <v>106</v>
      </c>
      <c r="E10" s="87" t="s">
        <v>198</v>
      </c>
      <c r="F10" s="74" t="s">
        <v>199</v>
      </c>
      <c r="H10" s="87" t="s">
        <v>200</v>
      </c>
      <c r="I10" s="74" t="s">
        <v>201</v>
      </c>
      <c r="J10" s="89" t="s">
        <v>180</v>
      </c>
      <c r="K10" s="74" t="s">
        <v>198</v>
      </c>
      <c r="L10" s="74" t="s">
        <v>199</v>
      </c>
      <c r="M10" s="9" t="s">
        <v>202</v>
      </c>
      <c r="O10" s="75" t="s">
        <v>203</v>
      </c>
    </row>
    <row r="11" spans="1:15" x14ac:dyDescent="0.45">
      <c r="A11" s="74" t="str">
        <f>Forze!G20</f>
        <v/>
      </c>
      <c r="B11" s="82" t="str">
        <f>Forze!L20</f>
        <v/>
      </c>
      <c r="C11" s="13" t="str">
        <f>IF(Masse!H6="","",Masse!H6)</f>
        <v/>
      </c>
      <c r="D11" s="9" t="str">
        <f t="shared" ref="D11:D16" si="0">IF(C11="","",$E$7)</f>
        <v/>
      </c>
      <c r="E11" s="85" t="str">
        <f t="shared" ref="E11:E16" si="1">IF(D11="","",B11/D11)</f>
        <v/>
      </c>
      <c r="F11" s="10" t="str">
        <f t="shared" ref="F11:F15" si="2">IF(D11="","",E11*C11*0.5)</f>
        <v/>
      </c>
      <c r="H11" s="85" t="str">
        <f t="shared" ref="H11:H12" si="3">IF(D11="","",(IF(F10="",0,F10)+F11)/2)</f>
        <v/>
      </c>
      <c r="I11" s="10" t="str">
        <f t="shared" ref="I11:I16" si="4">IF(D11="","",2*H11/$K$7)</f>
        <v/>
      </c>
      <c r="J11" s="90"/>
      <c r="K11" s="10" t="str">
        <f t="shared" ref="K11:K17" si="5">IF(D11="","",J11*E11)</f>
        <v/>
      </c>
      <c r="L11" s="10" t="str">
        <f t="shared" ref="L11:L16" si="6">IF(D11="","",K11*C11*0.5)</f>
        <v/>
      </c>
      <c r="M11" s="10" t="str">
        <f t="shared" ref="M11:M16" si="7">IF(D11="","",IF(M10="",0,M10)+I11)</f>
        <v/>
      </c>
      <c r="O11" s="76" t="s">
        <v>156</v>
      </c>
    </row>
    <row r="12" spans="1:15" x14ac:dyDescent="0.45">
      <c r="A12" s="74" t="str">
        <f>Forze!G21</f>
        <v/>
      </c>
      <c r="B12" s="82" t="str">
        <f>Forze!L21</f>
        <v/>
      </c>
      <c r="C12" s="13" t="str">
        <f>IF(Masse!H7="","",Masse!H7)</f>
        <v/>
      </c>
      <c r="D12" s="9" t="str">
        <f t="shared" si="0"/>
        <v/>
      </c>
      <c r="E12" s="85" t="str">
        <f t="shared" si="1"/>
        <v/>
      </c>
      <c r="F12" s="10" t="str">
        <f t="shared" si="2"/>
        <v/>
      </c>
      <c r="H12" s="85" t="str">
        <f t="shared" si="3"/>
        <v/>
      </c>
      <c r="I12" s="10" t="str">
        <f t="shared" si="4"/>
        <v/>
      </c>
      <c r="J12" s="90"/>
      <c r="K12" s="10" t="str">
        <f t="shared" si="5"/>
        <v/>
      </c>
      <c r="L12" s="10" t="str">
        <f t="shared" si="6"/>
        <v/>
      </c>
      <c r="M12" s="10" t="str">
        <f t="shared" si="7"/>
        <v/>
      </c>
      <c r="O12" s="76" t="s">
        <v>157</v>
      </c>
    </row>
    <row r="13" spans="1:15" x14ac:dyDescent="0.45">
      <c r="A13" s="74" t="str">
        <f>Forze!G22</f>
        <v>5 + torrino</v>
      </c>
      <c r="B13" s="82">
        <f>Forze!L22</f>
        <v>549.5950517417316</v>
      </c>
      <c r="C13" s="13">
        <f>IF(Masse!H8="","",Masse!H8)</f>
        <v>3.2</v>
      </c>
      <c r="D13" s="9">
        <f t="shared" si="0"/>
        <v>13</v>
      </c>
      <c r="E13" s="85">
        <f t="shared" si="1"/>
        <v>42.276542441671658</v>
      </c>
      <c r="F13" s="10">
        <f t="shared" si="2"/>
        <v>67.642467906674653</v>
      </c>
      <c r="H13" s="85">
        <f>IF(D13="","",(IF(F12="",0,F12)+F13)/2)</f>
        <v>33.821233953337327</v>
      </c>
      <c r="I13" s="10">
        <f t="shared" si="4"/>
        <v>16.498162904066991</v>
      </c>
      <c r="J13" s="90">
        <v>0.6</v>
      </c>
      <c r="K13" s="10">
        <f t="shared" si="5"/>
        <v>25.365925465002995</v>
      </c>
      <c r="L13" s="10">
        <f t="shared" si="6"/>
        <v>40.585480744004798</v>
      </c>
      <c r="M13" s="10">
        <f t="shared" si="7"/>
        <v>16.498162904066991</v>
      </c>
    </row>
    <row r="14" spans="1:15" x14ac:dyDescent="0.45">
      <c r="A14" s="74">
        <f>Forze!G23</f>
        <v>4</v>
      </c>
      <c r="B14" s="82">
        <f>Forze!L23</f>
        <v>968.14576011237591</v>
      </c>
      <c r="C14" s="13">
        <f>IF(Masse!H9="","",Masse!H9)</f>
        <v>3.2</v>
      </c>
      <c r="D14" s="9">
        <f t="shared" si="0"/>
        <v>13</v>
      </c>
      <c r="E14" s="85">
        <f t="shared" si="1"/>
        <v>74.472750777875063</v>
      </c>
      <c r="F14" s="10">
        <f t="shared" si="2"/>
        <v>119.1564012446001</v>
      </c>
      <c r="H14" s="85">
        <f t="shared" ref="H14:H17" si="8">IF(D14="","",(IF(F13="",0,F13)+F14)/2)</f>
        <v>93.399434575637372</v>
      </c>
      <c r="I14" s="10">
        <f t="shared" si="4"/>
        <v>45.560699792993844</v>
      </c>
      <c r="J14" s="90">
        <v>0.6</v>
      </c>
      <c r="K14" s="10">
        <f t="shared" si="5"/>
        <v>44.683650466725034</v>
      </c>
      <c r="L14" s="10">
        <f t="shared" si="6"/>
        <v>71.493840746760057</v>
      </c>
      <c r="M14" s="10">
        <f t="shared" si="7"/>
        <v>62.058862697060832</v>
      </c>
    </row>
    <row r="15" spans="1:15" x14ac:dyDescent="0.45">
      <c r="A15" s="74">
        <f>Forze!G24</f>
        <v>3</v>
      </c>
      <c r="B15" s="82">
        <f>Forze!L24</f>
        <v>1285.2296300901369</v>
      </c>
      <c r="C15" s="13">
        <f>IF(Masse!H10="","",Masse!H10)</f>
        <v>3.2</v>
      </c>
      <c r="D15" s="9">
        <f t="shared" si="0"/>
        <v>13</v>
      </c>
      <c r="E15" s="85">
        <f t="shared" si="1"/>
        <v>98.863817699241295</v>
      </c>
      <c r="F15" s="10">
        <f t="shared" si="2"/>
        <v>158.18210831878608</v>
      </c>
      <c r="H15" s="85">
        <f t="shared" si="8"/>
        <v>138.6692547816931</v>
      </c>
      <c r="I15" s="10">
        <f t="shared" si="4"/>
        <v>67.643538917899079</v>
      </c>
      <c r="J15" s="90">
        <v>0.6</v>
      </c>
      <c r="K15" s="10">
        <f t="shared" si="5"/>
        <v>59.318290619544776</v>
      </c>
      <c r="L15" s="10">
        <f t="shared" si="6"/>
        <v>94.909264991271641</v>
      </c>
      <c r="M15" s="10">
        <f t="shared" si="7"/>
        <v>129.70240161495991</v>
      </c>
    </row>
    <row r="16" spans="1:15" x14ac:dyDescent="0.45">
      <c r="A16" s="74">
        <f>Forze!G25</f>
        <v>2</v>
      </c>
      <c r="B16" s="82">
        <f>Forze!L25</f>
        <v>1500.8466616750143</v>
      </c>
      <c r="C16" s="13">
        <f>IF(Masse!H11="","",Masse!H11)</f>
        <v>3.2</v>
      </c>
      <c r="D16" s="9">
        <f t="shared" si="0"/>
        <v>13</v>
      </c>
      <c r="E16" s="85">
        <f t="shared" si="1"/>
        <v>115.44974320577033</v>
      </c>
      <c r="F16" s="10">
        <f>IF(D16="","",E16*C16*0.5)</f>
        <v>184.71958912923253</v>
      </c>
      <c r="H16" s="85">
        <f t="shared" si="8"/>
        <v>171.45084872400929</v>
      </c>
      <c r="I16" s="10">
        <f t="shared" si="4"/>
        <v>83.634560353175274</v>
      </c>
      <c r="J16" s="90">
        <v>0.6</v>
      </c>
      <c r="K16" s="10">
        <f t="shared" si="5"/>
        <v>69.269845923462199</v>
      </c>
      <c r="L16" s="10">
        <f t="shared" si="6"/>
        <v>110.83175347753952</v>
      </c>
      <c r="M16" s="10">
        <f t="shared" si="7"/>
        <v>213.3369619681352</v>
      </c>
      <c r="O16" s="103" t="s">
        <v>194</v>
      </c>
    </row>
    <row r="17" spans="1:15" x14ac:dyDescent="0.45">
      <c r="A17" s="74" t="str">
        <f>CONCATENATE(Forze!G26," testa")</f>
        <v>1 testa</v>
      </c>
      <c r="B17" s="82">
        <f>Forze!L26</f>
        <v>1593.7193999999997</v>
      </c>
      <c r="C17" s="13">
        <f>IF(Masse!H12="","",Masse!H12)</f>
        <v>3.6</v>
      </c>
      <c r="D17" s="9">
        <f>IF(C17="","",$E$7)</f>
        <v>13</v>
      </c>
      <c r="E17" s="85">
        <f>IF(D17="","",B17/D17)</f>
        <v>122.59379999999997</v>
      </c>
      <c r="F17" s="10">
        <f>IF(D17="","",E17*C17*0.4)</f>
        <v>176.53507199999999</v>
      </c>
      <c r="H17" s="85">
        <f t="shared" si="8"/>
        <v>180.62733056461627</v>
      </c>
      <c r="I17" s="10">
        <f>IF(D17="","",2*H17/$K$7)</f>
        <v>88.11089295834941</v>
      </c>
      <c r="J17" s="90">
        <v>0.8</v>
      </c>
      <c r="K17" s="10">
        <f t="shared" si="5"/>
        <v>98.075039999999987</v>
      </c>
      <c r="L17" s="10">
        <f>IF(D17="","",K17*C17*0.4)</f>
        <v>141.2280576</v>
      </c>
      <c r="M17" s="10">
        <f>IF(D17="","",IF(M16="",0,M16)+I17)</f>
        <v>301.44785492648464</v>
      </c>
      <c r="O17" s="103" t="s">
        <v>195</v>
      </c>
    </row>
    <row r="18" spans="1:15" x14ac:dyDescent="0.45">
      <c r="A18" s="9" t="str">
        <f>CONCATENATE(Forze!G26," piede")</f>
        <v>1 piede</v>
      </c>
      <c r="B18" s="9"/>
      <c r="C18" s="9"/>
      <c r="D18" s="10"/>
      <c r="E18" s="86"/>
      <c r="F18" s="10">
        <f>IF(D17="","",E17*C17*0.6)</f>
        <v>264.80260799999996</v>
      </c>
      <c r="H18" s="86"/>
      <c r="J18" s="85"/>
      <c r="K18" s="77"/>
      <c r="L18" s="10">
        <f>IF(D17="","",K17*C17*0.6)</f>
        <v>211.84208639999997</v>
      </c>
      <c r="M18" s="10"/>
      <c r="N18" s="9"/>
      <c r="O18" s="103" t="s">
        <v>192</v>
      </c>
    </row>
    <row r="19" spans="1:15" x14ac:dyDescent="0.45">
      <c r="A19" s="9"/>
      <c r="B19" s="9"/>
      <c r="C19" s="9"/>
      <c r="D19" s="10"/>
      <c r="F19" s="10"/>
      <c r="I19" s="10"/>
      <c r="J19" s="77"/>
      <c r="L19" s="10"/>
      <c r="M19" s="9"/>
      <c r="N19" s="10"/>
    </row>
    <row r="20" spans="1:15" x14ac:dyDescent="0.45">
      <c r="A20" s="9"/>
      <c r="B20" s="9"/>
      <c r="C20" s="9"/>
      <c r="D20" s="10"/>
      <c r="F20" s="10"/>
      <c r="I20" s="10"/>
      <c r="J20" s="77"/>
      <c r="L20" s="10"/>
      <c r="M20" s="9"/>
      <c r="N20" s="10"/>
    </row>
    <row r="21" spans="1:15" x14ac:dyDescent="0.45">
      <c r="A21" s="7" t="s">
        <v>111</v>
      </c>
      <c r="B21" s="9"/>
      <c r="C21" s="9"/>
      <c r="D21" s="10"/>
      <c r="E21" s="88" t="s">
        <v>183</v>
      </c>
      <c r="F21" s="83"/>
      <c r="G21" s="83"/>
      <c r="H21" s="88" t="s">
        <v>123</v>
      </c>
      <c r="I21" s="83"/>
      <c r="J21" s="88" t="s">
        <v>181</v>
      </c>
      <c r="K21" s="83"/>
      <c r="L21" s="83"/>
      <c r="M21" s="83"/>
      <c r="N21" s="77"/>
      <c r="O21" s="7" t="s">
        <v>109</v>
      </c>
    </row>
    <row r="22" spans="1:15" ht="14.65" x14ac:dyDescent="0.45">
      <c r="A22" s="74" t="s">
        <v>188</v>
      </c>
      <c r="B22" s="9"/>
      <c r="C22" s="9"/>
      <c r="D22" s="10"/>
      <c r="E22" s="87" t="s">
        <v>198</v>
      </c>
      <c r="F22" s="74" t="s">
        <v>199</v>
      </c>
      <c r="G22" s="8" t="s">
        <v>197</v>
      </c>
      <c r="H22" s="87" t="s">
        <v>200</v>
      </c>
      <c r="I22" s="74" t="s">
        <v>201</v>
      </c>
      <c r="J22" s="87" t="s">
        <v>198</v>
      </c>
      <c r="K22" s="74" t="s">
        <v>199</v>
      </c>
      <c r="L22" s="8" t="s">
        <v>197</v>
      </c>
      <c r="M22" s="9" t="s">
        <v>179</v>
      </c>
      <c r="N22" s="77"/>
    </row>
    <row r="23" spans="1:15" x14ac:dyDescent="0.45">
      <c r="A23" s="74"/>
      <c r="B23" s="9"/>
      <c r="C23" s="9"/>
      <c r="D23" s="10"/>
      <c r="E23" s="85" t="str">
        <f t="shared" ref="E23:E28" si="9">E11</f>
        <v/>
      </c>
      <c r="F23" s="84" t="str">
        <f t="shared" ref="F23:F28" si="10">IF(F11="","",F11*0.9)</f>
        <v/>
      </c>
      <c r="G23" s="10" t="str">
        <f t="shared" ref="G23:G28" si="11">IF(F23="","",F23*1.5)</f>
        <v/>
      </c>
      <c r="H23" s="85" t="str">
        <f t="shared" ref="H23:H28" si="12">IF(H11="","",H11*0.9)</f>
        <v/>
      </c>
      <c r="I23" s="10" t="str">
        <f t="shared" ref="I23:I28" si="13">I11</f>
        <v/>
      </c>
      <c r="J23" s="85" t="str">
        <f t="shared" ref="J23:J28" si="14">K11</f>
        <v/>
      </c>
      <c r="K23" s="84" t="str">
        <f t="shared" ref="K23:K28" si="15">IF(L11="","",L11*0.9)</f>
        <v/>
      </c>
      <c r="L23" s="10" t="str">
        <f t="shared" ref="L23:L28" si="16">IF(K23="","",K23*1.5)</f>
        <v/>
      </c>
      <c r="M23" s="10" t="str">
        <f t="shared" ref="M23:M28" si="17">M11</f>
        <v/>
      </c>
      <c r="N23" s="77"/>
      <c r="O23" s="78" t="s">
        <v>182</v>
      </c>
    </row>
    <row r="24" spans="1:15" x14ac:dyDescent="0.45">
      <c r="A24" s="74"/>
      <c r="B24" s="9"/>
      <c r="C24" s="9"/>
      <c r="D24" s="10"/>
      <c r="E24" s="85" t="str">
        <f t="shared" si="9"/>
        <v/>
      </c>
      <c r="F24" s="84" t="str">
        <f t="shared" si="10"/>
        <v/>
      </c>
      <c r="G24" s="10" t="str">
        <f t="shared" si="11"/>
        <v/>
      </c>
      <c r="H24" s="85" t="str">
        <f t="shared" si="12"/>
        <v/>
      </c>
      <c r="I24" s="10" t="str">
        <f t="shared" si="13"/>
        <v/>
      </c>
      <c r="J24" s="85" t="str">
        <f t="shared" si="14"/>
        <v/>
      </c>
      <c r="K24" s="84" t="str">
        <f t="shared" si="15"/>
        <v/>
      </c>
      <c r="L24" s="10" t="str">
        <f t="shared" si="16"/>
        <v/>
      </c>
      <c r="M24" s="10" t="str">
        <f t="shared" si="17"/>
        <v/>
      </c>
      <c r="N24" s="77"/>
      <c r="O24" s="79" t="s">
        <v>175</v>
      </c>
    </row>
    <row r="25" spans="1:15" x14ac:dyDescent="0.45">
      <c r="A25" s="9" t="s">
        <v>19</v>
      </c>
      <c r="B25" s="9"/>
      <c r="C25" s="9"/>
      <c r="D25" s="10"/>
      <c r="E25" s="85">
        <f t="shared" si="9"/>
        <v>42.276542441671658</v>
      </c>
      <c r="F25" s="84">
        <f t="shared" si="10"/>
        <v>60.87822111600719</v>
      </c>
      <c r="G25" s="10">
        <f t="shared" si="11"/>
        <v>91.317331674010788</v>
      </c>
      <c r="H25" s="85">
        <f t="shared" si="12"/>
        <v>30.439110558003595</v>
      </c>
      <c r="I25" s="10">
        <f t="shared" si="13"/>
        <v>16.498162904066991</v>
      </c>
      <c r="J25" s="85">
        <f t="shared" si="14"/>
        <v>25.365925465002995</v>
      </c>
      <c r="K25" s="84">
        <f t="shared" si="15"/>
        <v>36.526932669604321</v>
      </c>
      <c r="L25" s="10">
        <f t="shared" si="16"/>
        <v>54.790399004406481</v>
      </c>
      <c r="M25" s="10">
        <f t="shared" si="17"/>
        <v>16.498162904066991</v>
      </c>
      <c r="N25" s="77"/>
      <c r="O25" s="79" t="s">
        <v>158</v>
      </c>
    </row>
    <row r="26" spans="1:15" x14ac:dyDescent="0.45">
      <c r="A26" s="9">
        <v>4</v>
      </c>
      <c r="B26" s="9"/>
      <c r="C26" s="9"/>
      <c r="D26" s="10"/>
      <c r="E26" s="85">
        <f t="shared" si="9"/>
        <v>74.472750777875063</v>
      </c>
      <c r="F26" s="84">
        <f t="shared" si="10"/>
        <v>107.24076112014009</v>
      </c>
      <c r="G26" s="10">
        <f t="shared" si="11"/>
        <v>160.86114168021015</v>
      </c>
      <c r="H26" s="85">
        <f t="shared" si="12"/>
        <v>84.059491118073637</v>
      </c>
      <c r="I26" s="10">
        <f t="shared" si="13"/>
        <v>45.560699792993844</v>
      </c>
      <c r="J26" s="85">
        <f t="shared" si="14"/>
        <v>44.683650466725034</v>
      </c>
      <c r="K26" s="84">
        <f t="shared" si="15"/>
        <v>64.34445667208405</v>
      </c>
      <c r="L26" s="10">
        <f t="shared" si="16"/>
        <v>96.516685008126075</v>
      </c>
      <c r="M26" s="10">
        <f t="shared" si="17"/>
        <v>62.058862697060832</v>
      </c>
      <c r="N26" s="77"/>
    </row>
    <row r="27" spans="1:15" x14ac:dyDescent="0.45">
      <c r="A27" s="9">
        <v>3</v>
      </c>
      <c r="B27" s="9"/>
      <c r="C27" s="9"/>
      <c r="D27" s="10"/>
      <c r="E27" s="85">
        <f t="shared" si="9"/>
        <v>98.863817699241295</v>
      </c>
      <c r="F27" s="84">
        <f t="shared" si="10"/>
        <v>142.36389748690746</v>
      </c>
      <c r="G27" s="10">
        <f t="shared" si="11"/>
        <v>213.54584623036118</v>
      </c>
      <c r="H27" s="85">
        <f t="shared" si="12"/>
        <v>124.80232930352379</v>
      </c>
      <c r="I27" s="10">
        <f t="shared" si="13"/>
        <v>67.643538917899079</v>
      </c>
      <c r="J27" s="85">
        <f t="shared" si="14"/>
        <v>59.318290619544776</v>
      </c>
      <c r="K27" s="84">
        <f t="shared" si="15"/>
        <v>85.418338492144485</v>
      </c>
      <c r="L27" s="10">
        <f t="shared" si="16"/>
        <v>128.12750773821674</v>
      </c>
      <c r="M27" s="10">
        <f t="shared" si="17"/>
        <v>129.70240161495991</v>
      </c>
      <c r="N27" s="77"/>
    </row>
    <row r="28" spans="1:15" x14ac:dyDescent="0.45">
      <c r="A28" s="9">
        <v>2</v>
      </c>
      <c r="B28" s="9"/>
      <c r="C28" s="9"/>
      <c r="D28" s="10"/>
      <c r="E28" s="85">
        <f t="shared" si="9"/>
        <v>115.44974320577033</v>
      </c>
      <c r="F28" s="84">
        <f t="shared" si="10"/>
        <v>166.24763021630929</v>
      </c>
      <c r="G28" s="10">
        <f t="shared" si="11"/>
        <v>249.37144532446393</v>
      </c>
      <c r="H28" s="85">
        <f t="shared" si="12"/>
        <v>154.30576385160836</v>
      </c>
      <c r="I28" s="10">
        <f t="shared" si="13"/>
        <v>83.634560353175274</v>
      </c>
      <c r="J28" s="85">
        <f t="shared" si="14"/>
        <v>69.269845923462199</v>
      </c>
      <c r="K28" s="84">
        <f t="shared" si="15"/>
        <v>99.748578129785571</v>
      </c>
      <c r="L28" s="10">
        <f t="shared" si="16"/>
        <v>149.62286719467835</v>
      </c>
      <c r="M28" s="10">
        <f t="shared" si="17"/>
        <v>213.3369619681352</v>
      </c>
      <c r="N28" s="77"/>
      <c r="O28" s="103" t="s">
        <v>194</v>
      </c>
    </row>
    <row r="29" spans="1:15" x14ac:dyDescent="0.45">
      <c r="A29" s="9" t="s">
        <v>107</v>
      </c>
      <c r="B29" s="9"/>
      <c r="C29" s="9"/>
      <c r="D29" s="10"/>
      <c r="E29" s="85">
        <f t="shared" ref="E29" si="18">E17</f>
        <v>122.59379999999997</v>
      </c>
      <c r="F29" s="84">
        <f>IF(F17="","",F17*0.9)</f>
        <v>158.88156479999998</v>
      </c>
      <c r="G29" s="10">
        <f>IF(F29="","",F29*1.5)</f>
        <v>238.32234719999997</v>
      </c>
      <c r="H29" s="85">
        <f>IF(H17="","",H17*0.9)</f>
        <v>162.56459750815466</v>
      </c>
      <c r="I29" s="10">
        <f>I17</f>
        <v>88.11089295834941</v>
      </c>
      <c r="J29" s="85">
        <f>K17</f>
        <v>98.075039999999987</v>
      </c>
      <c r="K29" s="84">
        <f>IF(L17="","",L17*0.9)</f>
        <v>127.10525184000001</v>
      </c>
      <c r="L29" s="10">
        <f>IF(K29="","",K29*1.5)</f>
        <v>190.65787776000002</v>
      </c>
      <c r="M29" s="10">
        <f>M17</f>
        <v>301.44785492648464</v>
      </c>
      <c r="N29" s="77"/>
      <c r="O29" s="103" t="s">
        <v>196</v>
      </c>
    </row>
    <row r="30" spans="1:15" x14ac:dyDescent="0.45">
      <c r="A30" s="9" t="s">
        <v>108</v>
      </c>
      <c r="B30" s="9"/>
      <c r="C30" s="9"/>
      <c r="D30" s="10"/>
      <c r="E30" s="86"/>
      <c r="F30" s="10">
        <f>F18</f>
        <v>264.80260799999996</v>
      </c>
      <c r="H30" s="86"/>
      <c r="J30" s="86"/>
      <c r="K30" s="10">
        <f>L18</f>
        <v>211.84208639999997</v>
      </c>
      <c r="M30" s="10"/>
      <c r="N30" s="77"/>
      <c r="O30" s="103" t="s">
        <v>193</v>
      </c>
    </row>
    <row r="31" spans="1:15" x14ac:dyDescent="0.45">
      <c r="A31" s="9"/>
      <c r="B31" s="9"/>
      <c r="C31" s="9"/>
      <c r="D31" s="10"/>
      <c r="G31" s="13"/>
      <c r="I31" s="10"/>
    </row>
    <row r="32" spans="1:15" x14ac:dyDescent="0.45">
      <c r="B32" s="9"/>
      <c r="C32" s="9"/>
      <c r="D32" s="10"/>
      <c r="E32" s="10"/>
      <c r="G32" s="13"/>
      <c r="I32" s="10"/>
      <c r="K32" s="7"/>
    </row>
    <row r="33" spans="1:15" x14ac:dyDescent="0.45">
      <c r="A33" s="9"/>
      <c r="D33" s="13"/>
      <c r="F33" s="10"/>
      <c r="I33" s="10"/>
      <c r="K33" s="9"/>
      <c r="L33" s="10"/>
    </row>
    <row r="34" spans="1:15" ht="15.75" x14ac:dyDescent="0.5">
      <c r="A34" s="72" t="s">
        <v>110</v>
      </c>
      <c r="J34" s="8" t="s">
        <v>155</v>
      </c>
    </row>
    <row r="35" spans="1:15" x14ac:dyDescent="0.45">
      <c r="D35" s="80" t="s">
        <v>191</v>
      </c>
      <c r="E35" s="47">
        <v>14</v>
      </c>
      <c r="J35" s="9" t="s">
        <v>204</v>
      </c>
      <c r="K35" s="57">
        <v>4.0999999999999996</v>
      </c>
      <c r="L35" s="8" t="s">
        <v>32</v>
      </c>
    </row>
    <row r="36" spans="1:15" x14ac:dyDescent="0.45">
      <c r="D36" s="73"/>
    </row>
    <row r="37" spans="1:15" x14ac:dyDescent="0.45">
      <c r="A37" s="7" t="s">
        <v>104</v>
      </c>
      <c r="E37" s="88" t="s">
        <v>183</v>
      </c>
      <c r="F37" s="83"/>
      <c r="G37" s="83"/>
      <c r="H37" s="88" t="s">
        <v>123</v>
      </c>
      <c r="I37" s="83"/>
      <c r="J37" s="88" t="s">
        <v>181</v>
      </c>
      <c r="K37" s="83"/>
      <c r="L37" s="83"/>
      <c r="M37" s="83"/>
    </row>
    <row r="38" spans="1:15" ht="14.65" x14ac:dyDescent="0.45">
      <c r="A38" s="74" t="s">
        <v>188</v>
      </c>
      <c r="B38" s="74" t="s">
        <v>174</v>
      </c>
      <c r="C38" s="74" t="s">
        <v>105</v>
      </c>
      <c r="D38" s="74" t="s">
        <v>106</v>
      </c>
      <c r="E38" s="87" t="s">
        <v>198</v>
      </c>
      <c r="F38" s="74" t="s">
        <v>199</v>
      </c>
      <c r="H38" s="87" t="s">
        <v>200</v>
      </c>
      <c r="I38" s="74" t="s">
        <v>201</v>
      </c>
      <c r="J38" s="89" t="s">
        <v>180</v>
      </c>
      <c r="K38" s="74" t="s">
        <v>198</v>
      </c>
      <c r="L38" s="74" t="s">
        <v>199</v>
      </c>
      <c r="M38" s="9" t="s">
        <v>202</v>
      </c>
      <c r="O38" s="75" t="s">
        <v>203</v>
      </c>
    </row>
    <row r="39" spans="1:15" x14ac:dyDescent="0.45">
      <c r="A39" s="74"/>
      <c r="B39" s="82" t="str">
        <f>Forze!L20</f>
        <v/>
      </c>
      <c r="C39" s="109" t="str">
        <f>IF(Masse!H6="","",Masse!H6)</f>
        <v/>
      </c>
      <c r="D39" s="9" t="str">
        <f>IF(C39="","",$E$35)</f>
        <v/>
      </c>
      <c r="E39" s="85" t="str">
        <f t="shared" ref="E39" si="19">IF(D39="","",B39/D39)</f>
        <v/>
      </c>
      <c r="F39" s="10" t="str">
        <f t="shared" ref="F39" si="20">IF(D39="","",E39*C39*0.5)</f>
        <v/>
      </c>
      <c r="H39" s="85" t="str">
        <f t="shared" ref="H39" si="21">IF(D39="","",(IF(F38="",0,F38)+F39)/2)</f>
        <v/>
      </c>
      <c r="I39" s="10" t="str">
        <f t="shared" ref="I39" si="22">IF(D39="","",2*H39/$K$7)</f>
        <v/>
      </c>
      <c r="J39" s="90"/>
      <c r="K39" s="10" t="str">
        <f t="shared" ref="K39" si="23">IF(D39="","",J39*E39)</f>
        <v/>
      </c>
      <c r="L39" s="10" t="str">
        <f t="shared" ref="L39" si="24">IF(D39="","",K39*C39*0.5)</f>
        <v/>
      </c>
      <c r="M39" s="10" t="str">
        <f t="shared" ref="M39" si="25">IF(D39="","",IF(M38="",0,M38)+I39)</f>
        <v/>
      </c>
      <c r="O39" s="76" t="s">
        <v>156</v>
      </c>
    </row>
    <row r="40" spans="1:15" x14ac:dyDescent="0.45">
      <c r="A40" s="74"/>
      <c r="B40" s="82" t="str">
        <f>Forze!L21</f>
        <v/>
      </c>
      <c r="C40" s="109" t="str">
        <f>IF(Masse!H7="","",Masse!H7)</f>
        <v/>
      </c>
      <c r="D40" s="9" t="str">
        <f t="shared" ref="D40:D45" si="26">IF(C40="","",$E$35)</f>
        <v/>
      </c>
      <c r="E40" s="85" t="str">
        <f t="shared" ref="E40:E41" si="27">IF(D40="","",B40/D40)</f>
        <v/>
      </c>
      <c r="F40" s="10" t="str">
        <f t="shared" ref="F40:F41" si="28">IF(D40="","",E40*C40*0.5)</f>
        <v/>
      </c>
      <c r="H40" s="85" t="str">
        <f t="shared" ref="H40:H41" si="29">IF(D40="","",(IF(F39="",0,F39)+F40)/2)</f>
        <v/>
      </c>
      <c r="I40" s="10" t="str">
        <f t="shared" ref="I40:I41" si="30">IF(D40="","",2*H40/$K$7)</f>
        <v/>
      </c>
      <c r="J40" s="90"/>
      <c r="K40" s="10" t="str">
        <f t="shared" ref="K40:K41" si="31">IF(D40="","",J40*E40)</f>
        <v/>
      </c>
      <c r="L40" s="10" t="str">
        <f t="shared" ref="L40:L41" si="32">IF(D40="","",K40*C40*0.5)</f>
        <v/>
      </c>
      <c r="M40" s="10" t="str">
        <f t="shared" ref="M40:M41" si="33">IF(D40="","",IF(M39="",0,M39)+I40)</f>
        <v/>
      </c>
      <c r="O40" s="76" t="s">
        <v>157</v>
      </c>
    </row>
    <row r="41" spans="1:15" x14ac:dyDescent="0.45">
      <c r="A41" s="9" t="s">
        <v>19</v>
      </c>
      <c r="B41" s="82">
        <f>Forze!L22</f>
        <v>549.5950517417316</v>
      </c>
      <c r="C41" s="109">
        <f>IF(Masse!H8="","",Masse!H8)</f>
        <v>3.2</v>
      </c>
      <c r="D41" s="9">
        <f t="shared" si="26"/>
        <v>14</v>
      </c>
      <c r="E41" s="85">
        <f t="shared" si="27"/>
        <v>39.256789410123687</v>
      </c>
      <c r="F41" s="10">
        <f t="shared" si="28"/>
        <v>62.810863056197903</v>
      </c>
      <c r="H41" s="85">
        <f t="shared" si="29"/>
        <v>31.405431528098951</v>
      </c>
      <c r="I41" s="10">
        <f t="shared" si="30"/>
        <v>15.319722696633637</v>
      </c>
      <c r="J41" s="90">
        <v>0.6</v>
      </c>
      <c r="K41" s="10">
        <f t="shared" si="31"/>
        <v>23.554073646074212</v>
      </c>
      <c r="L41" s="10">
        <f t="shared" si="32"/>
        <v>37.686517833718739</v>
      </c>
      <c r="M41" s="10">
        <f t="shared" si="33"/>
        <v>15.319722696633637</v>
      </c>
      <c r="N41" s="9"/>
    </row>
    <row r="42" spans="1:15" x14ac:dyDescent="0.45">
      <c r="A42" s="9">
        <v>4</v>
      </c>
      <c r="B42" s="82">
        <f>Forze!L23</f>
        <v>968.14576011237591</v>
      </c>
      <c r="C42" s="109">
        <f>IF(Masse!H9="","",Masse!H9)</f>
        <v>3.2</v>
      </c>
      <c r="D42" s="9">
        <f t="shared" si="26"/>
        <v>14</v>
      </c>
      <c r="E42" s="85">
        <f t="shared" ref="E42:E45" si="34">IF(D42="","",B42/D42)</f>
        <v>69.153268579455428</v>
      </c>
      <c r="F42" s="10">
        <f t="shared" ref="F42:F44" si="35">IF(D42="","",E42*C42*0.5)</f>
        <v>110.64522972712869</v>
      </c>
      <c r="H42" s="85">
        <f t="shared" ref="H42:H45" si="36">IF(D42="","",(IF(F41="",0,F41)+F42)/2)</f>
        <v>86.728046391663298</v>
      </c>
      <c r="I42" s="10">
        <f t="shared" ref="I42:I45" si="37">IF(D42="","",2*H42/$K$7)</f>
        <v>42.306364093494295</v>
      </c>
      <c r="J42" s="90">
        <v>0.6</v>
      </c>
      <c r="K42" s="10">
        <f t="shared" ref="K42:K45" si="38">IF(D42="","",J42*E42)</f>
        <v>41.491961147673258</v>
      </c>
      <c r="L42" s="10">
        <f t="shared" ref="L42:L45" si="39">IF(D42="","",K42*C42*0.5)</f>
        <v>66.387137836277219</v>
      </c>
      <c r="M42" s="10">
        <f t="shared" ref="M42:M45" si="40">IF(D42="","",IF(M41="",0,M41)+I42)</f>
        <v>57.626086790127928</v>
      </c>
      <c r="N42" s="9"/>
    </row>
    <row r="43" spans="1:15" x14ac:dyDescent="0.45">
      <c r="A43" s="9">
        <v>3</v>
      </c>
      <c r="B43" s="82">
        <f>Forze!L24</f>
        <v>1285.2296300901369</v>
      </c>
      <c r="C43" s="109">
        <f>IF(Masse!H10="","",Masse!H10)</f>
        <v>3.2</v>
      </c>
      <c r="D43" s="9">
        <f t="shared" si="26"/>
        <v>14</v>
      </c>
      <c r="E43" s="85">
        <f t="shared" si="34"/>
        <v>91.802116435009779</v>
      </c>
      <c r="F43" s="10">
        <f t="shared" si="35"/>
        <v>146.88338629601566</v>
      </c>
      <c r="H43" s="85">
        <f t="shared" si="36"/>
        <v>128.76430801157218</v>
      </c>
      <c r="I43" s="10">
        <f t="shared" si="37"/>
        <v>62.811857566620581</v>
      </c>
      <c r="J43" s="90">
        <v>0.6</v>
      </c>
      <c r="K43" s="10">
        <f t="shared" si="38"/>
        <v>55.081269861005865</v>
      </c>
      <c r="L43" s="10">
        <f t="shared" si="39"/>
        <v>88.130031777609389</v>
      </c>
      <c r="M43" s="10">
        <f t="shared" si="40"/>
        <v>120.43794435674852</v>
      </c>
      <c r="N43" s="9"/>
    </row>
    <row r="44" spans="1:15" x14ac:dyDescent="0.45">
      <c r="A44" s="9">
        <v>2</v>
      </c>
      <c r="B44" s="82">
        <f>Forze!L25</f>
        <v>1500.8466616750143</v>
      </c>
      <c r="C44" s="109">
        <f>IF(Masse!H11="","",Masse!H11)</f>
        <v>3.2</v>
      </c>
      <c r="D44" s="9">
        <f t="shared" si="26"/>
        <v>14</v>
      </c>
      <c r="E44" s="85">
        <f t="shared" si="34"/>
        <v>107.20333297678674</v>
      </c>
      <c r="F44" s="10">
        <f t="shared" si="35"/>
        <v>171.5253327628588</v>
      </c>
      <c r="H44" s="85">
        <f t="shared" si="36"/>
        <v>159.20435952943723</v>
      </c>
      <c r="I44" s="10">
        <f t="shared" si="37"/>
        <v>77.660663185091337</v>
      </c>
      <c r="J44" s="90">
        <v>0.6</v>
      </c>
      <c r="K44" s="10">
        <f t="shared" si="38"/>
        <v>64.321999786072041</v>
      </c>
      <c r="L44" s="10">
        <f t="shared" si="39"/>
        <v>102.91519965771528</v>
      </c>
      <c r="M44" s="10">
        <f t="shared" si="40"/>
        <v>198.09860754183984</v>
      </c>
      <c r="N44" s="9"/>
      <c r="O44" s="103" t="s">
        <v>194</v>
      </c>
    </row>
    <row r="45" spans="1:15" x14ac:dyDescent="0.45">
      <c r="A45" s="9" t="s">
        <v>107</v>
      </c>
      <c r="B45" s="82">
        <f>Forze!L26</f>
        <v>1593.7193999999997</v>
      </c>
      <c r="C45" s="109">
        <f>IF(Masse!H12="","",Masse!H12)</f>
        <v>3.6</v>
      </c>
      <c r="D45" s="9">
        <f t="shared" si="26"/>
        <v>14</v>
      </c>
      <c r="E45" s="85">
        <f t="shared" si="34"/>
        <v>113.83709999999998</v>
      </c>
      <c r="F45" s="10">
        <f>IF(D45="","",E45*C45*0.4)</f>
        <v>163.92542399999999</v>
      </c>
      <c r="H45" s="85">
        <f t="shared" si="36"/>
        <v>167.72537838142938</v>
      </c>
      <c r="I45" s="10">
        <f t="shared" si="37"/>
        <v>81.817257747038724</v>
      </c>
      <c r="J45" s="90">
        <v>0.8</v>
      </c>
      <c r="K45" s="10">
        <f t="shared" si="38"/>
        <v>91.069679999999991</v>
      </c>
      <c r="L45" s="10">
        <f t="shared" si="39"/>
        <v>163.92542399999999</v>
      </c>
      <c r="M45" s="10">
        <f t="shared" si="40"/>
        <v>279.91586528887854</v>
      </c>
      <c r="N45" s="9"/>
      <c r="O45" s="103" t="s">
        <v>195</v>
      </c>
    </row>
    <row r="46" spans="1:15" x14ac:dyDescent="0.45">
      <c r="A46" s="9" t="s">
        <v>108</v>
      </c>
      <c r="B46" s="9"/>
      <c r="C46" s="9"/>
      <c r="D46" s="10"/>
      <c r="E46" s="86"/>
      <c r="F46" s="10">
        <f>IF(D45="","",E45*C45*0.6)</f>
        <v>245.88813599999995</v>
      </c>
      <c r="H46" s="86"/>
      <c r="J46" s="85"/>
      <c r="K46" s="77"/>
      <c r="L46" s="10">
        <f>IF(D45="","",K45*C45*0.6)</f>
        <v>196.71050879999999</v>
      </c>
      <c r="M46" s="10"/>
      <c r="N46" s="9"/>
      <c r="O46" s="103" t="s">
        <v>192</v>
      </c>
    </row>
    <row r="47" spans="1:15" x14ac:dyDescent="0.45">
      <c r="A47" s="9"/>
      <c r="B47" s="9"/>
      <c r="C47" s="9"/>
      <c r="D47" s="10"/>
      <c r="F47" s="10"/>
      <c r="I47" s="10"/>
      <c r="J47" s="77"/>
      <c r="L47" s="10"/>
      <c r="M47" s="9"/>
      <c r="N47" s="10"/>
    </row>
    <row r="48" spans="1:15" x14ac:dyDescent="0.45">
      <c r="A48" s="9"/>
      <c r="B48" s="9"/>
      <c r="C48" s="9"/>
      <c r="D48" s="10"/>
      <c r="F48" s="10"/>
      <c r="I48" s="10"/>
      <c r="J48" s="77"/>
      <c r="L48" s="10"/>
      <c r="M48" s="9"/>
      <c r="N48" s="10"/>
    </row>
    <row r="49" spans="1:15" x14ac:dyDescent="0.45">
      <c r="A49" s="7" t="s">
        <v>111</v>
      </c>
      <c r="B49" s="9"/>
      <c r="C49" s="9"/>
      <c r="D49" s="10"/>
      <c r="E49" s="88" t="s">
        <v>183</v>
      </c>
      <c r="F49" s="83"/>
      <c r="G49" s="83"/>
      <c r="H49" s="88" t="s">
        <v>123</v>
      </c>
      <c r="I49" s="83"/>
      <c r="J49" s="88" t="s">
        <v>181</v>
      </c>
      <c r="K49" s="83"/>
      <c r="L49" s="83"/>
      <c r="M49" s="83"/>
      <c r="N49" s="77"/>
      <c r="O49" s="7" t="s">
        <v>109</v>
      </c>
    </row>
    <row r="50" spans="1:15" ht="14.65" x14ac:dyDescent="0.45">
      <c r="A50" s="74" t="s">
        <v>188</v>
      </c>
      <c r="B50" s="9"/>
      <c r="C50" s="9"/>
      <c r="D50" s="10"/>
      <c r="E50" s="87" t="s">
        <v>198</v>
      </c>
      <c r="F50" s="74" t="s">
        <v>199</v>
      </c>
      <c r="G50" s="8" t="s">
        <v>197</v>
      </c>
      <c r="H50" s="87" t="s">
        <v>200</v>
      </c>
      <c r="I50" s="74" t="s">
        <v>201</v>
      </c>
      <c r="J50" s="87" t="s">
        <v>198</v>
      </c>
      <c r="K50" s="74" t="s">
        <v>199</v>
      </c>
      <c r="L50" s="8" t="s">
        <v>197</v>
      </c>
      <c r="M50" s="9" t="s">
        <v>179</v>
      </c>
      <c r="N50" s="77"/>
    </row>
    <row r="51" spans="1:15" x14ac:dyDescent="0.45">
      <c r="A51" s="74"/>
      <c r="B51" s="9"/>
      <c r="C51" s="9"/>
      <c r="D51" s="10"/>
      <c r="E51" s="85" t="str">
        <f t="shared" ref="E51:E57" si="41">E39</f>
        <v/>
      </c>
      <c r="F51" s="84" t="str">
        <f t="shared" ref="F51:F56" si="42">IF(F39="","",F39*0.9)</f>
        <v/>
      </c>
      <c r="G51" s="10" t="str">
        <f t="shared" ref="G51:G56" si="43">IF(F51="","",F51*1.5)</f>
        <v/>
      </c>
      <c r="H51" s="85" t="str">
        <f t="shared" ref="H51:H56" si="44">IF(H39="","",H39*0.9)</f>
        <v/>
      </c>
      <c r="I51" s="10" t="str">
        <f t="shared" ref="I51:I56" si="45">I39</f>
        <v/>
      </c>
      <c r="J51" s="85" t="str">
        <f t="shared" ref="J51:J56" si="46">K39</f>
        <v/>
      </c>
      <c r="K51" s="84" t="str">
        <f t="shared" ref="K51:K56" si="47">IF(L39="","",L39*0.9)</f>
        <v/>
      </c>
      <c r="L51" s="10" t="str">
        <f t="shared" ref="L51:L56" si="48">IF(K51="","",K51*1.5)</f>
        <v/>
      </c>
      <c r="M51" s="10" t="str">
        <f t="shared" ref="M51:M56" si="49">M39</f>
        <v/>
      </c>
      <c r="N51" s="77"/>
      <c r="O51" s="78" t="s">
        <v>182</v>
      </c>
    </row>
    <row r="52" spans="1:15" x14ac:dyDescent="0.45">
      <c r="A52" s="74"/>
      <c r="B52" s="9"/>
      <c r="C52" s="9"/>
      <c r="D52" s="10"/>
      <c r="E52" s="85" t="str">
        <f t="shared" si="41"/>
        <v/>
      </c>
      <c r="F52" s="84" t="str">
        <f t="shared" si="42"/>
        <v/>
      </c>
      <c r="G52" s="10" t="str">
        <f t="shared" si="43"/>
        <v/>
      </c>
      <c r="H52" s="85" t="str">
        <f t="shared" si="44"/>
        <v/>
      </c>
      <c r="I52" s="10" t="str">
        <f t="shared" si="45"/>
        <v/>
      </c>
      <c r="J52" s="85" t="str">
        <f t="shared" si="46"/>
        <v/>
      </c>
      <c r="K52" s="84" t="str">
        <f t="shared" si="47"/>
        <v/>
      </c>
      <c r="L52" s="10" t="str">
        <f t="shared" si="48"/>
        <v/>
      </c>
      <c r="M52" s="10" t="str">
        <f t="shared" si="49"/>
        <v/>
      </c>
      <c r="N52" s="77"/>
      <c r="O52" s="79" t="s">
        <v>175</v>
      </c>
    </row>
    <row r="53" spans="1:15" x14ac:dyDescent="0.45">
      <c r="A53" s="9" t="s">
        <v>19</v>
      </c>
      <c r="B53" s="9"/>
      <c r="C53" s="9"/>
      <c r="D53" s="10"/>
      <c r="E53" s="85">
        <f t="shared" si="41"/>
        <v>39.256789410123687</v>
      </c>
      <c r="F53" s="84">
        <f t="shared" si="42"/>
        <v>56.529776750578115</v>
      </c>
      <c r="G53" s="10">
        <f t="shared" si="43"/>
        <v>84.794665125867169</v>
      </c>
      <c r="H53" s="85">
        <f t="shared" si="44"/>
        <v>28.264888375289058</v>
      </c>
      <c r="I53" s="10">
        <f t="shared" si="45"/>
        <v>15.319722696633637</v>
      </c>
      <c r="J53" s="85">
        <f t="shared" si="46"/>
        <v>23.554073646074212</v>
      </c>
      <c r="K53" s="84">
        <f t="shared" si="47"/>
        <v>33.917866050346866</v>
      </c>
      <c r="L53" s="10">
        <f t="shared" si="48"/>
        <v>50.876799075520296</v>
      </c>
      <c r="M53" s="10">
        <f t="shared" si="49"/>
        <v>15.319722696633637</v>
      </c>
      <c r="N53" s="77"/>
      <c r="O53" s="79" t="s">
        <v>158</v>
      </c>
    </row>
    <row r="54" spans="1:15" x14ac:dyDescent="0.45">
      <c r="A54" s="9">
        <v>4</v>
      </c>
      <c r="B54" s="9"/>
      <c r="C54" s="9"/>
      <c r="D54" s="10"/>
      <c r="E54" s="85">
        <f t="shared" si="41"/>
        <v>69.153268579455428</v>
      </c>
      <c r="F54" s="84">
        <f t="shared" si="42"/>
        <v>99.580706754415829</v>
      </c>
      <c r="G54" s="10">
        <f t="shared" si="43"/>
        <v>149.37106013162375</v>
      </c>
      <c r="H54" s="85">
        <f t="shared" si="44"/>
        <v>78.055241752496968</v>
      </c>
      <c r="I54" s="10">
        <f t="shared" si="45"/>
        <v>42.306364093494295</v>
      </c>
      <c r="J54" s="85">
        <f t="shared" si="46"/>
        <v>41.491961147673258</v>
      </c>
      <c r="K54" s="84">
        <f t="shared" si="47"/>
        <v>59.748424052649497</v>
      </c>
      <c r="L54" s="10">
        <f t="shared" si="48"/>
        <v>89.622636078974239</v>
      </c>
      <c r="M54" s="10">
        <f t="shared" si="49"/>
        <v>57.626086790127928</v>
      </c>
      <c r="N54" s="77"/>
    </row>
    <row r="55" spans="1:15" x14ac:dyDescent="0.45">
      <c r="A55" s="9">
        <v>3</v>
      </c>
      <c r="B55" s="9"/>
      <c r="C55" s="9"/>
      <c r="D55" s="10"/>
      <c r="E55" s="85">
        <f t="shared" si="41"/>
        <v>91.802116435009779</v>
      </c>
      <c r="F55" s="84">
        <f t="shared" si="42"/>
        <v>132.1950476664141</v>
      </c>
      <c r="G55" s="10">
        <f t="shared" si="43"/>
        <v>198.29257149962115</v>
      </c>
      <c r="H55" s="85">
        <f t="shared" si="44"/>
        <v>115.88787721041497</v>
      </c>
      <c r="I55" s="10">
        <f t="shared" si="45"/>
        <v>62.811857566620581</v>
      </c>
      <c r="J55" s="85">
        <f t="shared" si="46"/>
        <v>55.081269861005865</v>
      </c>
      <c r="K55" s="84">
        <f t="shared" si="47"/>
        <v>79.317028599848456</v>
      </c>
      <c r="L55" s="10">
        <f t="shared" si="48"/>
        <v>118.97554289977268</v>
      </c>
      <c r="M55" s="10">
        <f t="shared" si="49"/>
        <v>120.43794435674852</v>
      </c>
      <c r="N55" s="77"/>
    </row>
    <row r="56" spans="1:15" x14ac:dyDescent="0.45">
      <c r="A56" s="9">
        <v>2</v>
      </c>
      <c r="B56" s="9"/>
      <c r="C56" s="9"/>
      <c r="D56" s="10"/>
      <c r="E56" s="85">
        <f t="shared" si="41"/>
        <v>107.20333297678674</v>
      </c>
      <c r="F56" s="84">
        <f t="shared" si="42"/>
        <v>154.37279948657292</v>
      </c>
      <c r="G56" s="10">
        <f t="shared" si="43"/>
        <v>231.55919922985936</v>
      </c>
      <c r="H56" s="85">
        <f t="shared" si="44"/>
        <v>143.28392357649352</v>
      </c>
      <c r="I56" s="10">
        <f t="shared" si="45"/>
        <v>77.660663185091337</v>
      </c>
      <c r="J56" s="85">
        <f t="shared" si="46"/>
        <v>64.321999786072041</v>
      </c>
      <c r="K56" s="84">
        <f t="shared" si="47"/>
        <v>92.62367969194375</v>
      </c>
      <c r="L56" s="10">
        <f t="shared" si="48"/>
        <v>138.93551953791564</v>
      </c>
      <c r="M56" s="10">
        <f t="shared" si="49"/>
        <v>198.09860754183984</v>
      </c>
      <c r="N56" s="77"/>
      <c r="O56" s="103" t="s">
        <v>194</v>
      </c>
    </row>
    <row r="57" spans="1:15" x14ac:dyDescent="0.45">
      <c r="A57" s="9" t="s">
        <v>107</v>
      </c>
      <c r="B57" s="9"/>
      <c r="C57" s="9"/>
      <c r="D57" s="10"/>
      <c r="E57" s="85">
        <f t="shared" si="41"/>
        <v>113.83709999999998</v>
      </c>
      <c r="F57" s="84">
        <f>IF(F45="","",F45*0.9)</f>
        <v>147.5328816</v>
      </c>
      <c r="G57" s="10">
        <f>IF(F57="","",F57*1.5)</f>
        <v>221.29932239999999</v>
      </c>
      <c r="H57" s="85">
        <f>IF(H45="","",H45*0.9)</f>
        <v>150.95284054328644</v>
      </c>
      <c r="I57" s="10">
        <f>I45</f>
        <v>81.817257747038724</v>
      </c>
      <c r="J57" s="85">
        <f>K45</f>
        <v>91.069679999999991</v>
      </c>
      <c r="K57" s="84">
        <f>IF(L45="","",L45*0.9)</f>
        <v>147.5328816</v>
      </c>
      <c r="L57" s="10">
        <f>IF(K57="","",K57*1.5)</f>
        <v>221.29932239999999</v>
      </c>
      <c r="M57" s="10">
        <f>M45</f>
        <v>279.91586528887854</v>
      </c>
      <c r="N57" s="77"/>
      <c r="O57" s="103" t="s">
        <v>196</v>
      </c>
    </row>
    <row r="58" spans="1:15" x14ac:dyDescent="0.45">
      <c r="A58" s="9" t="s">
        <v>108</v>
      </c>
      <c r="B58" s="9"/>
      <c r="C58" s="9"/>
      <c r="D58" s="10"/>
      <c r="E58" s="86"/>
      <c r="F58" s="10">
        <f>F46</f>
        <v>245.88813599999995</v>
      </c>
      <c r="H58" s="86"/>
      <c r="J58" s="86"/>
      <c r="K58" s="10">
        <f>L46</f>
        <v>196.71050879999999</v>
      </c>
      <c r="M58" s="10"/>
      <c r="N58" s="77"/>
      <c r="O58" s="103" t="s">
        <v>193</v>
      </c>
    </row>
    <row r="59" spans="1:15" x14ac:dyDescent="0.45">
      <c r="A59" s="9"/>
      <c r="B59" s="9"/>
      <c r="C59" s="9"/>
      <c r="D59" s="10"/>
      <c r="G59" s="13"/>
      <c r="I59" s="10"/>
    </row>
    <row r="60" spans="1:15" x14ac:dyDescent="0.45">
      <c r="A60" s="9"/>
      <c r="D60" s="13"/>
      <c r="E60" s="10"/>
      <c r="F60" s="10"/>
      <c r="G60" s="10"/>
      <c r="H60" s="10"/>
      <c r="I60" s="10"/>
      <c r="J60" s="13"/>
      <c r="K60" s="9"/>
      <c r="L60" s="10"/>
    </row>
    <row r="61" spans="1:15" x14ac:dyDescent="0.45">
      <c r="A61" s="9"/>
      <c r="D61" s="13"/>
      <c r="E61" s="10"/>
      <c r="F61" s="10"/>
      <c r="G61" s="10"/>
      <c r="H61" s="10"/>
      <c r="I61" s="10"/>
      <c r="K61" s="9"/>
      <c r="L61" s="10"/>
    </row>
    <row r="62" spans="1:15" x14ac:dyDescent="0.45">
      <c r="A62" s="9"/>
      <c r="D62" s="13"/>
      <c r="E62" s="10"/>
      <c r="F62" s="10"/>
      <c r="G62" s="10"/>
      <c r="H62" s="10"/>
      <c r="I62" s="10"/>
      <c r="K62" s="9"/>
      <c r="L62" s="10"/>
    </row>
    <row r="63" spans="1:15" x14ac:dyDescent="0.45">
      <c r="A63" s="9"/>
      <c r="D63" s="13"/>
      <c r="F63" s="10"/>
      <c r="I63" s="10"/>
      <c r="K63" s="9"/>
      <c r="L63" s="10"/>
    </row>
    <row r="64" spans="1:15" x14ac:dyDescent="0.45">
      <c r="A64" s="9"/>
      <c r="D64" s="13"/>
      <c r="F64" s="10"/>
      <c r="I64" s="10"/>
      <c r="K64" s="9"/>
      <c r="L64" s="10"/>
    </row>
  </sheetData>
  <pageMargins left="0.75" right="0.75" top="1" bottom="1" header="0.5" footer="0.5"/>
  <pageSetup paperSize="9" orientation="portrait" horizontalDpi="300" verticalDpi="300" r:id="rId1"/>
  <headerFooter alignWithMargins="0"/>
  <ignoredErrors>
    <ignoredError sqref="G23:G29 G51:G57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5"/>
  <sheetViews>
    <sheetView tabSelected="1" zoomScaleNormal="100" workbookViewId="0">
      <selection activeCell="A3" sqref="A3"/>
    </sheetView>
  </sheetViews>
  <sheetFormatPr defaultColWidth="9" defaultRowHeight="14.25" x14ac:dyDescent="0.45"/>
  <cols>
    <col min="1" max="4" width="9" style="8"/>
    <col min="5" max="5" width="12.73046875" style="8" customWidth="1"/>
    <col min="6" max="16384" width="9" style="8"/>
  </cols>
  <sheetData>
    <row r="1" spans="1:9" ht="15.75" x14ac:dyDescent="0.5">
      <c r="A1" s="72" t="s">
        <v>112</v>
      </c>
    </row>
    <row r="2" spans="1:9" x14ac:dyDescent="0.45">
      <c r="A2" s="8" t="s">
        <v>113</v>
      </c>
    </row>
    <row r="4" spans="1:9" ht="15.75" x14ac:dyDescent="0.5">
      <c r="A4" s="72" t="s">
        <v>114</v>
      </c>
      <c r="C4" s="8" t="s">
        <v>115</v>
      </c>
    </row>
    <row r="6" spans="1:9" x14ac:dyDescent="0.45">
      <c r="A6" s="9" t="s">
        <v>123</v>
      </c>
      <c r="B6" s="9">
        <v>18</v>
      </c>
      <c r="C6" s="9">
        <v>19</v>
      </c>
      <c r="E6" s="9" t="s">
        <v>124</v>
      </c>
      <c r="F6" s="9">
        <v>1</v>
      </c>
      <c r="H6" s="9" t="s">
        <v>125</v>
      </c>
      <c r="I6" s="9" t="s">
        <v>129</v>
      </c>
    </row>
    <row r="7" spans="1:9" x14ac:dyDescent="0.45">
      <c r="A7" s="9" t="s">
        <v>116</v>
      </c>
      <c r="B7" s="9" t="s">
        <v>117</v>
      </c>
      <c r="C7" s="10">
        <f>'Car.Soll.'!H29*F7</f>
        <v>162.56459750815466</v>
      </c>
      <c r="D7" s="8" t="s">
        <v>118</v>
      </c>
      <c r="E7" s="9" t="s">
        <v>159</v>
      </c>
      <c r="F7" s="13">
        <v>1</v>
      </c>
      <c r="G7" s="75" t="s">
        <v>130</v>
      </c>
    </row>
    <row r="8" spans="1:9" x14ac:dyDescent="0.45">
      <c r="A8" s="9" t="s">
        <v>120</v>
      </c>
      <c r="B8" s="9" t="s">
        <v>117</v>
      </c>
      <c r="C8" s="10">
        <v>60</v>
      </c>
      <c r="D8" s="8" t="s">
        <v>118</v>
      </c>
      <c r="E8" s="75" t="s">
        <v>131</v>
      </c>
    </row>
    <row r="9" spans="1:9" x14ac:dyDescent="0.45">
      <c r="A9" s="9" t="s">
        <v>122</v>
      </c>
      <c r="B9" s="9" t="s">
        <v>176</v>
      </c>
      <c r="C9" s="10">
        <f>C7+C8</f>
        <v>222.56459750815466</v>
      </c>
      <c r="D9" s="8" t="s">
        <v>118</v>
      </c>
    </row>
    <row r="11" spans="1:9" x14ac:dyDescent="0.45">
      <c r="A11" s="9" t="s">
        <v>123</v>
      </c>
      <c r="B11" s="9">
        <v>20</v>
      </c>
      <c r="C11" s="9">
        <v>27</v>
      </c>
      <c r="E11" s="9" t="s">
        <v>124</v>
      </c>
      <c r="F11" s="9">
        <v>1</v>
      </c>
      <c r="H11" s="9" t="s">
        <v>125</v>
      </c>
      <c r="I11" s="9" t="s">
        <v>126</v>
      </c>
    </row>
    <row r="12" spans="1:9" x14ac:dyDescent="0.45">
      <c r="A12" s="9" t="s">
        <v>116</v>
      </c>
      <c r="B12" s="9" t="s">
        <v>117</v>
      </c>
      <c r="C12" s="10">
        <f>'Car.Soll.'!H57*F12</f>
        <v>181.14340865194373</v>
      </c>
      <c r="D12" s="8" t="s">
        <v>118</v>
      </c>
      <c r="E12" s="9" t="s">
        <v>159</v>
      </c>
      <c r="F12" s="13">
        <v>1.2</v>
      </c>
      <c r="G12" s="75" t="s">
        <v>119</v>
      </c>
    </row>
    <row r="13" spans="1:9" x14ac:dyDescent="0.45">
      <c r="A13" s="9" t="s">
        <v>120</v>
      </c>
      <c r="B13" s="9" t="s">
        <v>117</v>
      </c>
      <c r="C13" s="10">
        <v>30</v>
      </c>
      <c r="D13" s="8" t="s">
        <v>118</v>
      </c>
      <c r="E13" s="75" t="s">
        <v>121</v>
      </c>
    </row>
    <row r="14" spans="1:9" x14ac:dyDescent="0.45">
      <c r="A14" s="9" t="s">
        <v>122</v>
      </c>
      <c r="B14" s="9" t="s">
        <v>176</v>
      </c>
      <c r="C14" s="10">
        <f>C12+C13</f>
        <v>211.14340865194373</v>
      </c>
      <c r="D14" s="8" t="s">
        <v>118</v>
      </c>
    </row>
    <row r="16" spans="1:9" x14ac:dyDescent="0.45">
      <c r="A16" s="9" t="s">
        <v>123</v>
      </c>
      <c r="B16" s="9">
        <v>20</v>
      </c>
      <c r="C16" s="9">
        <v>27</v>
      </c>
      <c r="E16" s="9" t="s">
        <v>124</v>
      </c>
      <c r="F16" s="9">
        <v>2</v>
      </c>
      <c r="H16" s="9" t="s">
        <v>125</v>
      </c>
      <c r="I16" s="9" t="s">
        <v>126</v>
      </c>
    </row>
    <row r="17" spans="1:9" x14ac:dyDescent="0.45">
      <c r="A17" s="9" t="s">
        <v>116</v>
      </c>
      <c r="B17" s="9" t="s">
        <v>117</v>
      </c>
      <c r="C17" s="10">
        <f>'Car.Soll.'!H56*F17</f>
        <v>171.94070829179222</v>
      </c>
      <c r="D17" s="8" t="s">
        <v>118</v>
      </c>
      <c r="E17" s="9" t="s">
        <v>159</v>
      </c>
      <c r="F17" s="13">
        <v>1.2</v>
      </c>
      <c r="G17" s="75" t="s">
        <v>119</v>
      </c>
    </row>
    <row r="18" spans="1:9" x14ac:dyDescent="0.45">
      <c r="A18" s="9" t="s">
        <v>120</v>
      </c>
      <c r="B18" s="9" t="s">
        <v>117</v>
      </c>
      <c r="C18" s="10">
        <v>60</v>
      </c>
      <c r="D18" s="8" t="s">
        <v>118</v>
      </c>
      <c r="E18" s="75" t="s">
        <v>127</v>
      </c>
    </row>
    <row r="19" spans="1:9" x14ac:dyDescent="0.45">
      <c r="A19" s="9" t="s">
        <v>122</v>
      </c>
      <c r="B19" s="9" t="s">
        <v>176</v>
      </c>
      <c r="C19" s="10">
        <f>C17+C18</f>
        <v>231.94070829179222</v>
      </c>
      <c r="D19" s="8" t="s">
        <v>118</v>
      </c>
      <c r="E19" s="52" t="s">
        <v>128</v>
      </c>
      <c r="G19" s="52" t="s">
        <v>163</v>
      </c>
    </row>
    <row r="21" spans="1:9" x14ac:dyDescent="0.45">
      <c r="A21" s="9" t="s">
        <v>123</v>
      </c>
      <c r="B21" s="9">
        <v>20</v>
      </c>
      <c r="C21" s="9">
        <v>27</v>
      </c>
      <c r="E21" s="9" t="s">
        <v>124</v>
      </c>
      <c r="F21" s="9">
        <v>4</v>
      </c>
      <c r="H21" s="9" t="s">
        <v>125</v>
      </c>
      <c r="I21" s="9" t="s">
        <v>126</v>
      </c>
    </row>
    <row r="22" spans="1:9" x14ac:dyDescent="0.45">
      <c r="A22" s="9" t="s">
        <v>116</v>
      </c>
      <c r="B22" s="9" t="s">
        <v>117</v>
      </c>
      <c r="C22" s="10">
        <f>'Car.Soll.'!H54*F22</f>
        <v>93.666290102996356</v>
      </c>
      <c r="D22" s="8" t="s">
        <v>118</v>
      </c>
      <c r="E22" s="9" t="s">
        <v>159</v>
      </c>
      <c r="F22" s="13">
        <v>1.2</v>
      </c>
      <c r="G22" s="75" t="s">
        <v>119</v>
      </c>
    </row>
    <row r="23" spans="1:9" x14ac:dyDescent="0.45">
      <c r="A23" s="9" t="s">
        <v>120</v>
      </c>
      <c r="B23" s="9" t="s">
        <v>117</v>
      </c>
      <c r="C23" s="10">
        <v>60</v>
      </c>
      <c r="D23" s="8" t="s">
        <v>118</v>
      </c>
      <c r="E23" s="75" t="s">
        <v>127</v>
      </c>
    </row>
    <row r="24" spans="1:9" x14ac:dyDescent="0.45">
      <c r="A24" s="9" t="s">
        <v>122</v>
      </c>
      <c r="B24" s="9" t="s">
        <v>176</v>
      </c>
      <c r="C24" s="10">
        <f>C22+C23</f>
        <v>153.66629010299636</v>
      </c>
      <c r="D24" s="8" t="s">
        <v>118</v>
      </c>
      <c r="E24" s="52" t="s">
        <v>132</v>
      </c>
    </row>
    <row r="27" spans="1:9" ht="15.75" x14ac:dyDescent="0.5">
      <c r="A27" s="81" t="s">
        <v>7</v>
      </c>
    </row>
    <row r="29" spans="1:9" x14ac:dyDescent="0.45">
      <c r="A29" s="9" t="s">
        <v>133</v>
      </c>
      <c r="B29" s="9">
        <v>2</v>
      </c>
      <c r="C29" s="9"/>
      <c r="E29" s="9" t="s">
        <v>134</v>
      </c>
      <c r="F29" s="9" t="s">
        <v>135</v>
      </c>
      <c r="H29" s="9" t="s">
        <v>125</v>
      </c>
      <c r="I29" s="9" t="s">
        <v>129</v>
      </c>
    </row>
    <row r="30" spans="1:9" x14ac:dyDescent="0.45">
      <c r="A30" s="9" t="s">
        <v>116</v>
      </c>
      <c r="B30" s="9" t="s">
        <v>176</v>
      </c>
      <c r="C30" s="10">
        <f>'Car.Soll.'!F30*F30</f>
        <v>317.76312959999996</v>
      </c>
      <c r="D30" s="8" t="s">
        <v>118</v>
      </c>
      <c r="E30" s="9" t="s">
        <v>159</v>
      </c>
      <c r="F30" s="13">
        <v>1.2</v>
      </c>
      <c r="G30" s="75" t="s">
        <v>136</v>
      </c>
    </row>
    <row r="31" spans="1:9" ht="14.65" x14ac:dyDescent="0.45">
      <c r="A31" s="9"/>
      <c r="B31" s="9" t="s">
        <v>189</v>
      </c>
      <c r="C31" s="11">
        <v>0</v>
      </c>
      <c r="D31" s="8" t="s">
        <v>8</v>
      </c>
      <c r="E31" s="75" t="s">
        <v>137</v>
      </c>
    </row>
    <row r="32" spans="1:9" x14ac:dyDescent="0.45">
      <c r="A32" s="9" t="s">
        <v>120</v>
      </c>
      <c r="B32" s="9" t="s">
        <v>138</v>
      </c>
      <c r="C32" s="11">
        <v>550</v>
      </c>
      <c r="D32" s="8" t="s">
        <v>8</v>
      </c>
      <c r="E32" s="75" t="s">
        <v>190</v>
      </c>
    </row>
    <row r="33" spans="1:12" x14ac:dyDescent="0.45">
      <c r="A33" s="9"/>
      <c r="B33" s="9" t="s">
        <v>177</v>
      </c>
      <c r="C33" s="11">
        <f>C32-C31</f>
        <v>550</v>
      </c>
      <c r="D33" s="8" t="s">
        <v>8</v>
      </c>
      <c r="E33" s="75"/>
      <c r="F33" s="9" t="s">
        <v>178</v>
      </c>
      <c r="G33" s="11">
        <f>C32+C31</f>
        <v>550</v>
      </c>
      <c r="H33" s="8" t="s">
        <v>8</v>
      </c>
    </row>
    <row r="35" spans="1:12" x14ac:dyDescent="0.45">
      <c r="A35" s="9" t="s">
        <v>133</v>
      </c>
      <c r="B35" s="9">
        <v>3</v>
      </c>
      <c r="C35" s="9"/>
      <c r="E35" s="9" t="s">
        <v>134</v>
      </c>
      <c r="F35" s="9" t="s">
        <v>135</v>
      </c>
      <c r="H35" s="9" t="s">
        <v>125</v>
      </c>
      <c r="I35" s="9" t="s">
        <v>129</v>
      </c>
      <c r="K35" s="8" t="s">
        <v>161</v>
      </c>
    </row>
    <row r="36" spans="1:12" x14ac:dyDescent="0.45">
      <c r="A36" s="9" t="s">
        <v>116</v>
      </c>
      <c r="B36" s="9" t="s">
        <v>176</v>
      </c>
      <c r="C36" s="10">
        <f>'Car.Soll.'!K30*F36</f>
        <v>254.21050367999996</v>
      </c>
      <c r="D36" s="8" t="s">
        <v>118</v>
      </c>
      <c r="E36" s="9" t="s">
        <v>159</v>
      </c>
      <c r="F36" s="13">
        <v>1.2</v>
      </c>
      <c r="G36" s="75" t="s">
        <v>160</v>
      </c>
      <c r="K36" s="80" t="s">
        <v>162</v>
      </c>
      <c r="L36" s="9"/>
    </row>
    <row r="37" spans="1:12" ht="14.65" x14ac:dyDescent="0.45">
      <c r="A37" s="9"/>
      <c r="B37" s="9" t="s">
        <v>189</v>
      </c>
      <c r="C37" s="11">
        <f>'Car.Soll.'!M29*F36</f>
        <v>361.73742591178154</v>
      </c>
      <c r="D37" s="8" t="s">
        <v>8</v>
      </c>
      <c r="E37" s="75" t="s">
        <v>139</v>
      </c>
    </row>
    <row r="38" spans="1:12" x14ac:dyDescent="0.45">
      <c r="A38" s="9" t="s">
        <v>120</v>
      </c>
      <c r="B38" s="9" t="s">
        <v>138</v>
      </c>
      <c r="C38" s="11">
        <v>400</v>
      </c>
      <c r="D38" s="8" t="s">
        <v>8</v>
      </c>
      <c r="E38" s="75" t="s">
        <v>140</v>
      </c>
    </row>
    <row r="39" spans="1:12" x14ac:dyDescent="0.45">
      <c r="A39" s="9"/>
      <c r="B39" s="9" t="s">
        <v>177</v>
      </c>
      <c r="C39" s="11">
        <f>C38-C37</f>
        <v>38.262574088218457</v>
      </c>
      <c r="D39" s="8" t="s">
        <v>8</v>
      </c>
      <c r="E39" s="75"/>
      <c r="F39" s="9" t="s">
        <v>178</v>
      </c>
      <c r="G39" s="11">
        <f>C38+C37</f>
        <v>761.73742591178154</v>
      </c>
      <c r="H39" s="8" t="s">
        <v>8</v>
      </c>
    </row>
    <row r="41" spans="1:12" x14ac:dyDescent="0.45">
      <c r="A41" s="9" t="s">
        <v>133</v>
      </c>
      <c r="B41" s="9">
        <v>20</v>
      </c>
      <c r="C41" s="9"/>
      <c r="E41" s="9" t="s">
        <v>134</v>
      </c>
      <c r="F41" s="9" t="s">
        <v>135</v>
      </c>
      <c r="H41" s="9" t="s">
        <v>125</v>
      </c>
      <c r="I41" s="9" t="s">
        <v>126</v>
      </c>
    </row>
    <row r="42" spans="1:12" x14ac:dyDescent="0.45">
      <c r="A42" s="9" t="s">
        <v>116</v>
      </c>
      <c r="B42" s="9" t="s">
        <v>176</v>
      </c>
      <c r="C42" s="10">
        <f>'Car.Soll.'!F46*F42</f>
        <v>295.06576319999994</v>
      </c>
      <c r="D42" s="8" t="s">
        <v>118</v>
      </c>
      <c r="E42" s="9" t="s">
        <v>159</v>
      </c>
      <c r="F42" s="13">
        <v>1.2</v>
      </c>
      <c r="G42" s="75" t="s">
        <v>136</v>
      </c>
    </row>
    <row r="43" spans="1:12" ht="14.65" x14ac:dyDescent="0.45">
      <c r="A43" s="9"/>
      <c r="B43" s="9" t="s">
        <v>189</v>
      </c>
      <c r="C43" s="11">
        <v>0</v>
      </c>
      <c r="D43" s="8" t="s">
        <v>8</v>
      </c>
      <c r="E43" s="75" t="s">
        <v>137</v>
      </c>
    </row>
    <row r="44" spans="1:12" x14ac:dyDescent="0.45">
      <c r="A44" s="9" t="s">
        <v>120</v>
      </c>
      <c r="B44" s="9" t="s">
        <v>138</v>
      </c>
      <c r="C44" s="11">
        <v>550</v>
      </c>
      <c r="D44" s="8" t="s">
        <v>8</v>
      </c>
      <c r="E44" s="75" t="s">
        <v>190</v>
      </c>
    </row>
    <row r="45" spans="1:12" x14ac:dyDescent="0.45">
      <c r="A45" s="9"/>
      <c r="B45" s="9" t="s">
        <v>177</v>
      </c>
      <c r="C45" s="11">
        <f>C44-C43</f>
        <v>550</v>
      </c>
      <c r="D45" s="8" t="s">
        <v>8</v>
      </c>
      <c r="E45" s="75"/>
      <c r="F45" s="9" t="s">
        <v>178</v>
      </c>
      <c r="G45" s="11">
        <f>C44+C43</f>
        <v>550</v>
      </c>
      <c r="H45" s="8" t="s">
        <v>8</v>
      </c>
    </row>
    <row r="47" spans="1:12" x14ac:dyDescent="0.45">
      <c r="A47" s="9" t="s">
        <v>133</v>
      </c>
      <c r="B47" s="9">
        <v>27</v>
      </c>
      <c r="C47" s="9"/>
      <c r="E47" s="9" t="s">
        <v>134</v>
      </c>
      <c r="F47" s="9" t="s">
        <v>135</v>
      </c>
      <c r="H47" s="9" t="s">
        <v>125</v>
      </c>
      <c r="I47" s="9" t="s">
        <v>126</v>
      </c>
      <c r="K47" s="8" t="s">
        <v>161</v>
      </c>
    </row>
    <row r="48" spans="1:12" x14ac:dyDescent="0.45">
      <c r="A48" s="9" t="s">
        <v>116</v>
      </c>
      <c r="B48" s="9" t="s">
        <v>176</v>
      </c>
      <c r="C48" s="10">
        <f>'Car.Soll.'!K58*F48</f>
        <v>236.05261055999998</v>
      </c>
      <c r="D48" s="8" t="s">
        <v>118</v>
      </c>
      <c r="E48" s="9" t="s">
        <v>159</v>
      </c>
      <c r="F48" s="13">
        <v>1.2</v>
      </c>
      <c r="G48" s="75" t="s">
        <v>160</v>
      </c>
      <c r="K48" s="80" t="s">
        <v>162</v>
      </c>
      <c r="L48" s="9"/>
    </row>
    <row r="49" spans="1:12" ht="14.65" x14ac:dyDescent="0.45">
      <c r="A49" s="9"/>
      <c r="B49" s="9" t="s">
        <v>189</v>
      </c>
      <c r="C49" s="11">
        <f>'Car.Soll.'!M57*F48</f>
        <v>335.89903834665421</v>
      </c>
      <c r="D49" s="8" t="s">
        <v>8</v>
      </c>
      <c r="E49" s="75" t="s">
        <v>139</v>
      </c>
    </row>
    <row r="50" spans="1:12" x14ac:dyDescent="0.45">
      <c r="A50" s="9" t="s">
        <v>120</v>
      </c>
      <c r="B50" s="9" t="s">
        <v>138</v>
      </c>
      <c r="C50" s="11">
        <v>400</v>
      </c>
      <c r="D50" s="8" t="s">
        <v>8</v>
      </c>
      <c r="E50" s="75" t="s">
        <v>140</v>
      </c>
    </row>
    <row r="51" spans="1:12" x14ac:dyDescent="0.45">
      <c r="A51" s="9"/>
      <c r="B51" s="9" t="s">
        <v>177</v>
      </c>
      <c r="C51" s="11">
        <f>C50-C49</f>
        <v>64.100961653345792</v>
      </c>
      <c r="D51" s="8" t="s">
        <v>8</v>
      </c>
      <c r="E51" s="75"/>
      <c r="F51" s="9" t="s">
        <v>178</v>
      </c>
      <c r="G51" s="11">
        <f>C50+C49</f>
        <v>735.89903834665415</v>
      </c>
      <c r="H51" s="8" t="s">
        <v>8</v>
      </c>
    </row>
    <row r="53" spans="1:12" x14ac:dyDescent="0.45">
      <c r="A53" s="9" t="s">
        <v>133</v>
      </c>
      <c r="B53" s="9">
        <v>2</v>
      </c>
      <c r="C53" s="9"/>
      <c r="E53" s="9" t="s">
        <v>134</v>
      </c>
      <c r="F53" s="9">
        <v>2</v>
      </c>
      <c r="H53" s="9" t="s">
        <v>125</v>
      </c>
      <c r="I53" s="9" t="s">
        <v>129</v>
      </c>
    </row>
    <row r="54" spans="1:12" x14ac:dyDescent="0.45">
      <c r="A54" s="9" t="s">
        <v>116</v>
      </c>
      <c r="B54" s="9" t="s">
        <v>176</v>
      </c>
      <c r="C54" s="10">
        <f>'Car.Soll.'!G28*F54</f>
        <v>299.2457343893567</v>
      </c>
      <c r="D54" s="8" t="s">
        <v>118</v>
      </c>
      <c r="E54" s="9" t="s">
        <v>159</v>
      </c>
      <c r="F54" s="13">
        <v>1.2</v>
      </c>
      <c r="G54" s="75" t="s">
        <v>136</v>
      </c>
    </row>
    <row r="55" spans="1:12" ht="14.65" x14ac:dyDescent="0.45">
      <c r="A55" s="9"/>
      <c r="B55" s="9" t="s">
        <v>189</v>
      </c>
      <c r="C55" s="11">
        <v>0</v>
      </c>
      <c r="D55" s="8" t="s">
        <v>8</v>
      </c>
      <c r="E55" s="75" t="s">
        <v>137</v>
      </c>
    </row>
    <row r="56" spans="1:12" x14ac:dyDescent="0.45">
      <c r="A56" s="9" t="s">
        <v>120</v>
      </c>
      <c r="B56" s="9" t="s">
        <v>138</v>
      </c>
      <c r="C56" s="11">
        <v>440</v>
      </c>
      <c r="D56" s="8" t="s">
        <v>8</v>
      </c>
      <c r="E56" s="75" t="s">
        <v>190</v>
      </c>
    </row>
    <row r="57" spans="1:12" x14ac:dyDescent="0.45">
      <c r="A57" s="9"/>
      <c r="B57" s="9" t="s">
        <v>177</v>
      </c>
      <c r="C57" s="11">
        <f>C56-C55</f>
        <v>440</v>
      </c>
      <c r="D57" s="8" t="s">
        <v>8</v>
      </c>
      <c r="E57" s="75"/>
      <c r="F57" s="9" t="s">
        <v>178</v>
      </c>
      <c r="G57" s="11">
        <f>C56+C55</f>
        <v>440</v>
      </c>
      <c r="H57" s="8" t="s">
        <v>8</v>
      </c>
    </row>
    <row r="59" spans="1:12" x14ac:dyDescent="0.45">
      <c r="A59" s="9" t="s">
        <v>133</v>
      </c>
      <c r="B59" s="9">
        <v>3</v>
      </c>
      <c r="C59" s="9"/>
      <c r="E59" s="9" t="s">
        <v>134</v>
      </c>
      <c r="F59" s="9">
        <v>2</v>
      </c>
      <c r="H59" s="9" t="s">
        <v>125</v>
      </c>
      <c r="I59" s="9" t="s">
        <v>129</v>
      </c>
      <c r="K59" s="8" t="s">
        <v>161</v>
      </c>
    </row>
    <row r="60" spans="1:12" x14ac:dyDescent="0.45">
      <c r="A60" s="9" t="s">
        <v>116</v>
      </c>
      <c r="B60" s="9" t="s">
        <v>176</v>
      </c>
      <c r="C60" s="10">
        <f>'Car.Soll.'!L28*F60</f>
        <v>179.547440633614</v>
      </c>
      <c r="D60" s="8" t="s">
        <v>118</v>
      </c>
      <c r="E60" s="9" t="s">
        <v>159</v>
      </c>
      <c r="F60" s="13">
        <v>1.2</v>
      </c>
      <c r="G60" s="75" t="s">
        <v>160</v>
      </c>
      <c r="K60" s="80" t="s">
        <v>162</v>
      </c>
      <c r="L60" s="9"/>
    </row>
    <row r="61" spans="1:12" ht="14.65" x14ac:dyDescent="0.45">
      <c r="A61" s="9"/>
      <c r="B61" s="9" t="s">
        <v>189</v>
      </c>
      <c r="C61" s="11">
        <f>'Car.Soll.'!M28*F60</f>
        <v>256.00435436176224</v>
      </c>
      <c r="D61" s="8" t="s">
        <v>8</v>
      </c>
      <c r="E61" s="75" t="s">
        <v>139</v>
      </c>
    </row>
    <row r="62" spans="1:12" x14ac:dyDescent="0.45">
      <c r="A62" s="9" t="s">
        <v>120</v>
      </c>
      <c r="B62" s="9" t="s">
        <v>138</v>
      </c>
      <c r="C62" s="11">
        <v>320</v>
      </c>
      <c r="D62" s="8" t="s">
        <v>8</v>
      </c>
      <c r="E62" s="75" t="s">
        <v>140</v>
      </c>
    </row>
    <row r="63" spans="1:12" x14ac:dyDescent="0.45">
      <c r="A63" s="9"/>
      <c r="B63" s="9" t="s">
        <v>177</v>
      </c>
      <c r="C63" s="11">
        <f>C62-C61</f>
        <v>63.995645638237761</v>
      </c>
      <c r="D63" s="8" t="s">
        <v>8</v>
      </c>
      <c r="E63" s="75"/>
      <c r="F63" s="9" t="s">
        <v>178</v>
      </c>
      <c r="G63" s="11">
        <f>C62+C61</f>
        <v>576.00435436176224</v>
      </c>
      <c r="H63" s="8" t="s">
        <v>8</v>
      </c>
    </row>
    <row r="65" spans="1:12" x14ac:dyDescent="0.45">
      <c r="A65" s="9" t="s">
        <v>133</v>
      </c>
      <c r="B65" s="9">
        <v>20</v>
      </c>
      <c r="C65" s="9"/>
      <c r="E65" s="9" t="s">
        <v>134</v>
      </c>
      <c r="F65" s="9">
        <v>2</v>
      </c>
      <c r="H65" s="9" t="s">
        <v>125</v>
      </c>
      <c r="I65" s="9" t="s">
        <v>126</v>
      </c>
    </row>
    <row r="66" spans="1:12" x14ac:dyDescent="0.45">
      <c r="A66" s="9" t="s">
        <v>116</v>
      </c>
      <c r="B66" s="9" t="s">
        <v>176</v>
      </c>
      <c r="C66" s="10">
        <f>'Car.Soll.'!G56*F66</f>
        <v>277.87103907583122</v>
      </c>
      <c r="D66" s="8" t="s">
        <v>118</v>
      </c>
      <c r="E66" s="9" t="s">
        <v>159</v>
      </c>
      <c r="F66" s="13">
        <v>1.2</v>
      </c>
      <c r="G66" s="75" t="s">
        <v>136</v>
      </c>
    </row>
    <row r="67" spans="1:12" ht="14.65" x14ac:dyDescent="0.45">
      <c r="A67" s="9"/>
      <c r="B67" s="9" t="s">
        <v>189</v>
      </c>
      <c r="C67" s="11">
        <v>0</v>
      </c>
      <c r="D67" s="8" t="s">
        <v>8</v>
      </c>
      <c r="E67" s="75" t="s">
        <v>137</v>
      </c>
    </row>
    <row r="68" spans="1:12" x14ac:dyDescent="0.45">
      <c r="A68" s="9" t="s">
        <v>120</v>
      </c>
      <c r="B68" s="9" t="s">
        <v>138</v>
      </c>
      <c r="C68" s="11">
        <v>440</v>
      </c>
      <c r="D68" s="8" t="s">
        <v>8</v>
      </c>
      <c r="E68" s="75" t="s">
        <v>190</v>
      </c>
    </row>
    <row r="69" spans="1:12" x14ac:dyDescent="0.45">
      <c r="A69" s="9"/>
      <c r="B69" s="9" t="s">
        <v>177</v>
      </c>
      <c r="C69" s="11">
        <f>C68-C67</f>
        <v>440</v>
      </c>
      <c r="D69" s="8" t="s">
        <v>8</v>
      </c>
      <c r="E69" s="75"/>
      <c r="F69" s="9" t="s">
        <v>178</v>
      </c>
      <c r="G69" s="11">
        <f>C68+C67</f>
        <v>440</v>
      </c>
      <c r="H69" s="8" t="s">
        <v>8</v>
      </c>
    </row>
    <row r="71" spans="1:12" x14ac:dyDescent="0.45">
      <c r="A71" s="9" t="s">
        <v>133</v>
      </c>
      <c r="B71" s="9">
        <v>27</v>
      </c>
      <c r="C71" s="9"/>
      <c r="E71" s="9" t="s">
        <v>134</v>
      </c>
      <c r="F71" s="9">
        <v>2</v>
      </c>
      <c r="H71" s="9" t="s">
        <v>125</v>
      </c>
      <c r="I71" s="9" t="s">
        <v>126</v>
      </c>
      <c r="K71" s="8" t="s">
        <v>161</v>
      </c>
    </row>
    <row r="72" spans="1:12" x14ac:dyDescent="0.45">
      <c r="A72" s="9" t="s">
        <v>116</v>
      </c>
      <c r="B72" s="9" t="s">
        <v>176</v>
      </c>
      <c r="C72" s="10">
        <f>'Car.Soll.'!L56*F72</f>
        <v>166.72262344549875</v>
      </c>
      <c r="D72" s="8" t="s">
        <v>118</v>
      </c>
      <c r="E72" s="9" t="s">
        <v>159</v>
      </c>
      <c r="F72" s="13">
        <v>1.2</v>
      </c>
      <c r="G72" s="75" t="s">
        <v>160</v>
      </c>
      <c r="K72" s="80" t="s">
        <v>162</v>
      </c>
      <c r="L72" s="9"/>
    </row>
    <row r="73" spans="1:12" ht="14.65" x14ac:dyDescent="0.45">
      <c r="A73" s="9"/>
      <c r="B73" s="9" t="s">
        <v>189</v>
      </c>
      <c r="C73" s="11">
        <f>'Car.Soll.'!M56*F72</f>
        <v>237.71832905020779</v>
      </c>
      <c r="D73" s="8" t="s">
        <v>8</v>
      </c>
      <c r="E73" s="75" t="s">
        <v>139</v>
      </c>
    </row>
    <row r="74" spans="1:12" x14ac:dyDescent="0.45">
      <c r="A74" s="9" t="s">
        <v>120</v>
      </c>
      <c r="B74" s="9" t="s">
        <v>138</v>
      </c>
      <c r="C74" s="11">
        <v>320</v>
      </c>
      <c r="D74" s="8" t="s">
        <v>8</v>
      </c>
      <c r="E74" s="75" t="s">
        <v>140</v>
      </c>
    </row>
    <row r="75" spans="1:12" x14ac:dyDescent="0.45">
      <c r="A75" s="9"/>
      <c r="B75" s="9" t="s">
        <v>177</v>
      </c>
      <c r="C75" s="11">
        <f>C74-C73</f>
        <v>82.281670949792215</v>
      </c>
      <c r="D75" s="8" t="s">
        <v>8</v>
      </c>
      <c r="E75" s="75"/>
      <c r="F75" s="9" t="s">
        <v>178</v>
      </c>
      <c r="G75" s="11">
        <f>C74+C73</f>
        <v>557.71832905020779</v>
      </c>
      <c r="H75" s="8" t="s">
        <v>8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workbookViewId="0">
      <selection activeCell="A2" sqref="A2"/>
    </sheetView>
  </sheetViews>
  <sheetFormatPr defaultRowHeight="14.25" x14ac:dyDescent="0.45"/>
  <sheetData>
    <row r="1" spans="1:15" ht="15.75" x14ac:dyDescent="0.5">
      <c r="A1" s="66" t="s">
        <v>205</v>
      </c>
    </row>
    <row r="3" spans="1:15" x14ac:dyDescent="0.45">
      <c r="A3" s="1" t="s">
        <v>207</v>
      </c>
      <c r="B3" s="110">
        <v>25</v>
      </c>
      <c r="C3" s="1" t="s">
        <v>208</v>
      </c>
      <c r="E3" s="1" t="s">
        <v>206</v>
      </c>
      <c r="F3" s="1">
        <f>ROUND(22000*((B3+8)/10)^0.3,-2)</f>
        <v>31500</v>
      </c>
      <c r="G3" s="1" t="s">
        <v>208</v>
      </c>
    </row>
    <row r="6" spans="1:15" x14ac:dyDescent="0.45">
      <c r="A6" s="3" t="s">
        <v>212</v>
      </c>
      <c r="C6" s="1" t="s">
        <v>220</v>
      </c>
      <c r="D6" s="121">
        <v>4</v>
      </c>
    </row>
    <row r="8" spans="1:15" ht="14.65" x14ac:dyDescent="0.45">
      <c r="A8" s="112"/>
      <c r="B8" s="112"/>
      <c r="C8" s="1" t="s">
        <v>211</v>
      </c>
      <c r="E8" s="117"/>
      <c r="F8" s="112"/>
      <c r="G8" s="112"/>
      <c r="H8" s="1" t="s">
        <v>210</v>
      </c>
      <c r="J8" s="111" t="s">
        <v>215</v>
      </c>
      <c r="K8" s="119" t="s">
        <v>217</v>
      </c>
      <c r="L8" s="119" t="s">
        <v>218</v>
      </c>
      <c r="M8" s="111" t="s">
        <v>221</v>
      </c>
      <c r="N8" s="122" t="s">
        <v>180</v>
      </c>
      <c r="O8" s="122" t="s">
        <v>223</v>
      </c>
    </row>
    <row r="9" spans="1:15" x14ac:dyDescent="0.45">
      <c r="A9" s="111" t="s">
        <v>124</v>
      </c>
      <c r="B9" s="111" t="s">
        <v>209</v>
      </c>
      <c r="C9" s="1" t="s">
        <v>213</v>
      </c>
      <c r="D9" s="1" t="s">
        <v>214</v>
      </c>
      <c r="E9" s="118" t="s">
        <v>134</v>
      </c>
      <c r="F9" s="111" t="s">
        <v>35</v>
      </c>
      <c r="G9" s="111" t="s">
        <v>209</v>
      </c>
      <c r="H9" s="1" t="s">
        <v>213</v>
      </c>
      <c r="I9" s="1" t="s">
        <v>214</v>
      </c>
      <c r="J9" s="111" t="s">
        <v>216</v>
      </c>
      <c r="K9" s="119" t="s">
        <v>216</v>
      </c>
      <c r="L9" s="119" t="s">
        <v>216</v>
      </c>
      <c r="M9" s="111" t="s">
        <v>222</v>
      </c>
      <c r="O9" s="122" t="s">
        <v>222</v>
      </c>
    </row>
    <row r="10" spans="1:15" x14ac:dyDescent="0.45">
      <c r="A10" s="111" t="str">
        <f t="shared" ref="A10:A16" si="0">IF(E10="","",E10)</f>
        <v/>
      </c>
      <c r="B10" s="113"/>
      <c r="C10" s="110"/>
      <c r="D10" s="110"/>
      <c r="E10" s="114" t="str">
        <f>IF('Car.Soll.'!A11="","",LEFT('Car.Soll.'!A11,1))</f>
        <v/>
      </c>
      <c r="F10" s="115" t="str">
        <f>'Car.Soll.'!C11</f>
        <v/>
      </c>
      <c r="G10" s="113"/>
      <c r="H10" s="110"/>
      <c r="I10" s="110"/>
      <c r="J10" s="116" t="str">
        <f t="shared" ref="J10:J16" si="1">IF(G10="","",G10*H10*I10^3/1200000000)</f>
        <v/>
      </c>
      <c r="K10" s="120" t="str">
        <f t="shared" ref="K10:K16" si="2">IF(B10="","",B10*C10*D10^3/1200000000)</f>
        <v/>
      </c>
      <c r="L10" s="120" t="str">
        <f>IF(G10="","",K11)</f>
        <v/>
      </c>
      <c r="M10" s="123" t="str">
        <f t="shared" ref="M10:M15" si="3">IF(J10="","",12*$F$3*J10/F10^3)</f>
        <v/>
      </c>
      <c r="N10" s="124" t="str">
        <f t="shared" ref="N10:N15" si="4">IF(J10="","",1/(1+0.5*J10*(1/K10+IF(L10="infinito",0,1/L10))*$D$6/F10))</f>
        <v/>
      </c>
      <c r="O10" s="125" t="str">
        <f t="shared" ref="O10:O14" si="5">IF(J10="","",M10*N10)</f>
        <v/>
      </c>
    </row>
    <row r="11" spans="1:15" x14ac:dyDescent="0.45">
      <c r="A11" s="111" t="str">
        <f t="shared" si="0"/>
        <v/>
      </c>
      <c r="B11" s="113"/>
      <c r="C11" s="110"/>
      <c r="D11" s="110"/>
      <c r="E11" s="114" t="str">
        <f>IF('Car.Soll.'!A12="","",LEFT('Car.Soll.'!A12,1))</f>
        <v/>
      </c>
      <c r="F11" s="115" t="str">
        <f>'Car.Soll.'!C12</f>
        <v/>
      </c>
      <c r="G11" s="113"/>
      <c r="H11" s="110"/>
      <c r="I11" s="110"/>
      <c r="J11" s="116" t="str">
        <f t="shared" si="1"/>
        <v/>
      </c>
      <c r="K11" s="120" t="str">
        <f t="shared" si="2"/>
        <v/>
      </c>
      <c r="L11" s="120" t="str">
        <f t="shared" ref="L11:L15" si="6">IF(G11="","",K12)</f>
        <v/>
      </c>
      <c r="M11" s="123" t="str">
        <f t="shared" si="3"/>
        <v/>
      </c>
      <c r="N11" s="124" t="str">
        <f t="shared" si="4"/>
        <v/>
      </c>
      <c r="O11" s="125" t="str">
        <f t="shared" si="5"/>
        <v/>
      </c>
    </row>
    <row r="12" spans="1:15" x14ac:dyDescent="0.45">
      <c r="A12" s="111" t="str">
        <f t="shared" si="0"/>
        <v>5</v>
      </c>
      <c r="B12" s="113">
        <v>15</v>
      </c>
      <c r="C12" s="110">
        <v>30</v>
      </c>
      <c r="D12" s="110">
        <v>50</v>
      </c>
      <c r="E12" s="114" t="str">
        <f>IF('Car.Soll.'!A13="","",LEFT('Car.Soll.'!A13,1))</f>
        <v>5</v>
      </c>
      <c r="F12" s="115">
        <f>'Car.Soll.'!C13</f>
        <v>3.2</v>
      </c>
      <c r="G12" s="113">
        <v>13</v>
      </c>
      <c r="H12" s="110">
        <v>30</v>
      </c>
      <c r="I12" s="110">
        <v>70</v>
      </c>
      <c r="J12" s="116">
        <f t="shared" si="1"/>
        <v>0.111475</v>
      </c>
      <c r="K12" s="120">
        <f t="shared" si="2"/>
        <v>4.6875E-2</v>
      </c>
      <c r="L12" s="120">
        <f t="shared" si="6"/>
        <v>8.1000000000000003E-2</v>
      </c>
      <c r="M12" s="123">
        <f t="shared" si="3"/>
        <v>1285.9359741210935</v>
      </c>
      <c r="N12" s="124">
        <f t="shared" si="4"/>
        <v>0.29882145372025792</v>
      </c>
      <c r="O12" s="125">
        <f t="shared" si="5"/>
        <v>384.26525717804111</v>
      </c>
    </row>
    <row r="13" spans="1:15" x14ac:dyDescent="0.45">
      <c r="A13" s="111" t="str">
        <f t="shared" si="0"/>
        <v>4</v>
      </c>
      <c r="B13" s="113">
        <v>15</v>
      </c>
      <c r="C13" s="110">
        <v>30</v>
      </c>
      <c r="D13" s="110">
        <v>60</v>
      </c>
      <c r="E13" s="114" t="str">
        <f>IF('Car.Soll.'!A14="","",LEFT('Car.Soll.'!A14,1))</f>
        <v>4</v>
      </c>
      <c r="F13" s="115">
        <f>'Car.Soll.'!C14</f>
        <v>3.2</v>
      </c>
      <c r="G13" s="113">
        <v>13</v>
      </c>
      <c r="H13" s="110">
        <v>30</v>
      </c>
      <c r="I13" s="110">
        <v>70</v>
      </c>
      <c r="J13" s="116">
        <f t="shared" si="1"/>
        <v>0.111475</v>
      </c>
      <c r="K13" s="120">
        <f t="shared" si="2"/>
        <v>8.1000000000000003E-2</v>
      </c>
      <c r="L13" s="120">
        <f t="shared" si="6"/>
        <v>8.1000000000000003E-2</v>
      </c>
      <c r="M13" s="123">
        <f t="shared" si="3"/>
        <v>1285.9359741210935</v>
      </c>
      <c r="N13" s="124">
        <f t="shared" si="4"/>
        <v>0.36760743156999004</v>
      </c>
      <c r="O13" s="125">
        <f t="shared" si="5"/>
        <v>472.71962061010839</v>
      </c>
    </row>
    <row r="14" spans="1:15" x14ac:dyDescent="0.45">
      <c r="A14" s="111" t="str">
        <f t="shared" si="0"/>
        <v>3</v>
      </c>
      <c r="B14" s="113">
        <v>15</v>
      </c>
      <c r="C14" s="110">
        <v>30</v>
      </c>
      <c r="D14" s="110">
        <v>60</v>
      </c>
      <c r="E14" s="114" t="str">
        <f>IF('Car.Soll.'!A15="","",LEFT('Car.Soll.'!A15,1))</f>
        <v>3</v>
      </c>
      <c r="F14" s="115">
        <f>'Car.Soll.'!C15</f>
        <v>3.2</v>
      </c>
      <c r="G14" s="113">
        <v>13</v>
      </c>
      <c r="H14" s="110">
        <v>30</v>
      </c>
      <c r="I14" s="110">
        <v>70</v>
      </c>
      <c r="J14" s="116">
        <f t="shared" si="1"/>
        <v>0.111475</v>
      </c>
      <c r="K14" s="120">
        <f t="shared" si="2"/>
        <v>8.1000000000000003E-2</v>
      </c>
      <c r="L14" s="120">
        <f t="shared" si="6"/>
        <v>8.1000000000000003E-2</v>
      </c>
      <c r="M14" s="123">
        <f t="shared" si="3"/>
        <v>1285.9359741210935</v>
      </c>
      <c r="N14" s="124">
        <f t="shared" si="4"/>
        <v>0.36760743156999004</v>
      </c>
      <c r="O14" s="125">
        <f t="shared" si="5"/>
        <v>472.71962061010839</v>
      </c>
    </row>
    <row r="15" spans="1:15" x14ac:dyDescent="0.45">
      <c r="A15" s="111" t="str">
        <f t="shared" si="0"/>
        <v>2</v>
      </c>
      <c r="B15" s="113">
        <v>15</v>
      </c>
      <c r="C15" s="110">
        <v>30</v>
      </c>
      <c r="D15" s="110">
        <v>60</v>
      </c>
      <c r="E15" s="114" t="str">
        <f>IF('Car.Soll.'!A16="","",LEFT('Car.Soll.'!A16,1))</f>
        <v>2</v>
      </c>
      <c r="F15" s="115">
        <f>'Car.Soll.'!C16</f>
        <v>3.2</v>
      </c>
      <c r="G15" s="113">
        <v>13</v>
      </c>
      <c r="H15" s="110">
        <v>30</v>
      </c>
      <c r="I15" s="110">
        <v>70</v>
      </c>
      <c r="J15" s="116">
        <f t="shared" si="1"/>
        <v>0.111475</v>
      </c>
      <c r="K15" s="120">
        <f t="shared" si="2"/>
        <v>8.1000000000000003E-2</v>
      </c>
      <c r="L15" s="120">
        <f t="shared" si="6"/>
        <v>8.1000000000000003E-2</v>
      </c>
      <c r="M15" s="123">
        <f t="shared" si="3"/>
        <v>1285.9359741210935</v>
      </c>
      <c r="N15" s="124">
        <f t="shared" si="4"/>
        <v>0.36760743156999004</v>
      </c>
      <c r="O15" s="125">
        <f>IF(J15="","",M15*N15)</f>
        <v>472.71962061010839</v>
      </c>
    </row>
    <row r="16" spans="1:15" x14ac:dyDescent="0.45">
      <c r="A16" s="111" t="str">
        <f t="shared" si="0"/>
        <v>1</v>
      </c>
      <c r="B16" s="113">
        <v>15</v>
      </c>
      <c r="C16" s="110">
        <v>30</v>
      </c>
      <c r="D16" s="110">
        <v>60</v>
      </c>
      <c r="E16" s="114" t="str">
        <f>IF('Car.Soll.'!A17="","",LEFT('Car.Soll.'!A17,1))</f>
        <v>1</v>
      </c>
      <c r="F16" s="115">
        <f>'Car.Soll.'!C17</f>
        <v>3.6</v>
      </c>
      <c r="G16" s="113">
        <v>13</v>
      </c>
      <c r="H16" s="110">
        <v>30</v>
      </c>
      <c r="I16" s="110">
        <v>70</v>
      </c>
      <c r="J16" s="116">
        <f t="shared" si="1"/>
        <v>0.111475</v>
      </c>
      <c r="K16" s="120">
        <f t="shared" si="2"/>
        <v>8.1000000000000003E-2</v>
      </c>
      <c r="L16" s="1" t="s">
        <v>219</v>
      </c>
      <c r="M16" s="123">
        <f>IF(J16="","",12*$F$3*J16/F16^3)</f>
        <v>903.15393518518511</v>
      </c>
      <c r="N16" s="124">
        <f>IF(J16="","",1/(1+0.5*J16*(1/K16+IF(L16="infinito",0,1/L16))*$D$6/F16))</f>
        <v>0.56670877465746761</v>
      </c>
      <c r="O16" s="125">
        <f t="shared" ref="O16" si="7">IF(J16="","",M16*N16)</f>
        <v>511.82525993586614</v>
      </c>
    </row>
    <row r="19" spans="1:15" x14ac:dyDescent="0.45">
      <c r="A19" s="3" t="s">
        <v>224</v>
      </c>
      <c r="C19" s="1" t="s">
        <v>220</v>
      </c>
      <c r="D19" s="121">
        <v>4</v>
      </c>
    </row>
    <row r="21" spans="1:15" ht="14.65" x14ac:dyDescent="0.45">
      <c r="A21" s="112"/>
      <c r="B21" s="112"/>
      <c r="C21" s="1" t="s">
        <v>211</v>
      </c>
      <c r="E21" s="117"/>
      <c r="F21" s="112"/>
      <c r="G21" s="112"/>
      <c r="H21" s="1" t="s">
        <v>210</v>
      </c>
      <c r="J21" s="111" t="s">
        <v>215</v>
      </c>
      <c r="K21" s="119" t="s">
        <v>217</v>
      </c>
      <c r="L21" s="119" t="s">
        <v>218</v>
      </c>
      <c r="M21" s="111" t="s">
        <v>221</v>
      </c>
      <c r="N21" s="122" t="s">
        <v>180</v>
      </c>
      <c r="O21" s="122" t="s">
        <v>223</v>
      </c>
    </row>
    <row r="22" spans="1:15" x14ac:dyDescent="0.45">
      <c r="A22" s="111" t="s">
        <v>124</v>
      </c>
      <c r="B22" s="111" t="s">
        <v>209</v>
      </c>
      <c r="C22" s="1" t="s">
        <v>213</v>
      </c>
      <c r="D22" s="1" t="s">
        <v>214</v>
      </c>
      <c r="E22" s="118" t="s">
        <v>134</v>
      </c>
      <c r="F22" s="111" t="s">
        <v>35</v>
      </c>
      <c r="G22" s="111" t="s">
        <v>209</v>
      </c>
      <c r="H22" s="1" t="s">
        <v>213</v>
      </c>
      <c r="I22" s="1" t="s">
        <v>214</v>
      </c>
      <c r="J22" s="111" t="s">
        <v>216</v>
      </c>
      <c r="K22" s="119" t="s">
        <v>216</v>
      </c>
      <c r="L22" s="119" t="s">
        <v>216</v>
      </c>
      <c r="M22" s="111" t="s">
        <v>222</v>
      </c>
      <c r="O22" s="122" t="s">
        <v>222</v>
      </c>
    </row>
    <row r="23" spans="1:15" x14ac:dyDescent="0.45">
      <c r="A23" s="111" t="str">
        <f>IF(E10="","",E10)</f>
        <v/>
      </c>
      <c r="B23" s="113"/>
      <c r="C23" s="110"/>
      <c r="D23" s="110"/>
      <c r="E23" s="114" t="str">
        <f>IF('Car.Soll.'!A11="","",LEFT('Car.Soll.'!A11,1))</f>
        <v/>
      </c>
      <c r="F23" s="115" t="str">
        <f>'Car.Soll.'!C11</f>
        <v/>
      </c>
      <c r="G23" s="113"/>
      <c r="H23" s="110"/>
      <c r="I23" s="110"/>
      <c r="J23" s="116" t="str">
        <f t="shared" ref="J23:J29" si="8">IF(G23="","",G23*H23*I23^3/1200000000)</f>
        <v/>
      </c>
      <c r="K23" s="120" t="str">
        <f t="shared" ref="K23:K29" si="9">IF(B23="","",B23*C23*D23^3/1200000000)</f>
        <v/>
      </c>
      <c r="L23" s="120" t="str">
        <f>IF(G23="","",K24)</f>
        <v/>
      </c>
      <c r="M23" s="123" t="str">
        <f t="shared" ref="M23:M28" si="10">IF(J23="","",12*$F$3*J23/F23^3)</f>
        <v/>
      </c>
      <c r="N23" s="124" t="str">
        <f t="shared" ref="N23:N28" si="11">IF(J23="","",1/(1+0.5*J23*(1/K23+IF(L23="infinito",0,1/L23))*$D$6/F23))</f>
        <v/>
      </c>
      <c r="O23" s="125" t="str">
        <f t="shared" ref="O23:O27" si="12">IF(J23="","",M23*N23)</f>
        <v/>
      </c>
    </row>
    <row r="24" spans="1:15" x14ac:dyDescent="0.45">
      <c r="A24" s="111" t="str">
        <f t="shared" ref="A24:A29" si="13">IF(E11="","",E11)</f>
        <v/>
      </c>
      <c r="B24" s="113"/>
      <c r="C24" s="110"/>
      <c r="D24" s="110"/>
      <c r="E24" s="114" t="str">
        <f>IF('Car.Soll.'!A12="","",LEFT('Car.Soll.'!A12,1))</f>
        <v/>
      </c>
      <c r="F24" s="115" t="str">
        <f>'Car.Soll.'!C12</f>
        <v/>
      </c>
      <c r="G24" s="113"/>
      <c r="H24" s="110"/>
      <c r="I24" s="110"/>
      <c r="J24" s="116" t="str">
        <f t="shared" si="8"/>
        <v/>
      </c>
      <c r="K24" s="120" t="str">
        <f t="shared" si="9"/>
        <v/>
      </c>
      <c r="L24" s="120" t="str">
        <f t="shared" ref="L24:L28" si="14">IF(G24="","",K25)</f>
        <v/>
      </c>
      <c r="M24" s="123" t="str">
        <f t="shared" si="10"/>
        <v/>
      </c>
      <c r="N24" s="124" t="str">
        <f t="shared" si="11"/>
        <v/>
      </c>
      <c r="O24" s="125" t="str">
        <f t="shared" si="12"/>
        <v/>
      </c>
    </row>
    <row r="25" spans="1:15" x14ac:dyDescent="0.45">
      <c r="A25" s="111" t="str">
        <f t="shared" si="13"/>
        <v>5</v>
      </c>
      <c r="B25" s="113">
        <v>16</v>
      </c>
      <c r="C25" s="110">
        <v>30</v>
      </c>
      <c r="D25" s="110">
        <v>50</v>
      </c>
      <c r="E25" s="114" t="str">
        <f>IF('Car.Soll.'!A13="","",LEFT('Car.Soll.'!A13,1))</f>
        <v>5</v>
      </c>
      <c r="F25" s="115">
        <f>'Car.Soll.'!C13</f>
        <v>3.2</v>
      </c>
      <c r="G25" s="113">
        <v>14</v>
      </c>
      <c r="H25" s="110">
        <v>30</v>
      </c>
      <c r="I25" s="110">
        <v>70</v>
      </c>
      <c r="J25" s="116">
        <f t="shared" si="8"/>
        <v>0.12005</v>
      </c>
      <c r="K25" s="120">
        <f t="shared" si="9"/>
        <v>0.05</v>
      </c>
      <c r="L25" s="120">
        <f t="shared" si="14"/>
        <v>8.6400000000000005E-2</v>
      </c>
      <c r="M25" s="123">
        <f t="shared" si="10"/>
        <v>1384.8541259765623</v>
      </c>
      <c r="N25" s="124">
        <f t="shared" si="11"/>
        <v>0.29682026141826151</v>
      </c>
      <c r="O25" s="125">
        <f t="shared" si="12"/>
        <v>411.05276369852129</v>
      </c>
    </row>
    <row r="26" spans="1:15" x14ac:dyDescent="0.45">
      <c r="A26" s="111" t="str">
        <f t="shared" si="13"/>
        <v>4</v>
      </c>
      <c r="B26" s="113">
        <v>16</v>
      </c>
      <c r="C26" s="110">
        <v>30</v>
      </c>
      <c r="D26" s="110">
        <v>60</v>
      </c>
      <c r="E26" s="114" t="str">
        <f>IF('Car.Soll.'!A14="","",LEFT('Car.Soll.'!A14,1))</f>
        <v>4</v>
      </c>
      <c r="F26" s="115">
        <f>'Car.Soll.'!C14</f>
        <v>3.2</v>
      </c>
      <c r="G26" s="113">
        <v>14</v>
      </c>
      <c r="H26" s="110">
        <v>30</v>
      </c>
      <c r="I26" s="110">
        <v>70</v>
      </c>
      <c r="J26" s="116">
        <f t="shared" si="8"/>
        <v>0.12005</v>
      </c>
      <c r="K26" s="120">
        <f t="shared" si="9"/>
        <v>8.6400000000000005E-2</v>
      </c>
      <c r="L26" s="120">
        <f t="shared" si="14"/>
        <v>8.6400000000000005E-2</v>
      </c>
      <c r="M26" s="123">
        <f t="shared" si="10"/>
        <v>1384.8541259765623</v>
      </c>
      <c r="N26" s="124">
        <f t="shared" si="11"/>
        <v>0.36538563197124285</v>
      </c>
      <c r="O26" s="125">
        <f t="shared" si="12"/>
        <v>506.00580000792939</v>
      </c>
    </row>
    <row r="27" spans="1:15" x14ac:dyDescent="0.45">
      <c r="A27" s="111" t="str">
        <f t="shared" si="13"/>
        <v>3</v>
      </c>
      <c r="B27" s="113">
        <v>16</v>
      </c>
      <c r="C27" s="110">
        <v>30</v>
      </c>
      <c r="D27" s="110">
        <v>60</v>
      </c>
      <c r="E27" s="114" t="str">
        <f>IF('Car.Soll.'!A15="","",LEFT('Car.Soll.'!A15,1))</f>
        <v>3</v>
      </c>
      <c r="F27" s="115">
        <f>'Car.Soll.'!C15</f>
        <v>3.2</v>
      </c>
      <c r="G27" s="113">
        <v>14</v>
      </c>
      <c r="H27" s="110">
        <v>30</v>
      </c>
      <c r="I27" s="110">
        <v>70</v>
      </c>
      <c r="J27" s="116">
        <f t="shared" si="8"/>
        <v>0.12005</v>
      </c>
      <c r="K27" s="120">
        <f t="shared" si="9"/>
        <v>8.6400000000000005E-2</v>
      </c>
      <c r="L27" s="120">
        <f t="shared" si="14"/>
        <v>8.6400000000000005E-2</v>
      </c>
      <c r="M27" s="123">
        <f t="shared" si="10"/>
        <v>1384.8541259765623</v>
      </c>
      <c r="N27" s="124">
        <f t="shared" si="11"/>
        <v>0.36538563197124285</v>
      </c>
      <c r="O27" s="125">
        <f t="shared" si="12"/>
        <v>506.00580000792939</v>
      </c>
    </row>
    <row r="28" spans="1:15" x14ac:dyDescent="0.45">
      <c r="A28" s="111" t="str">
        <f t="shared" si="13"/>
        <v>2</v>
      </c>
      <c r="B28" s="113">
        <v>16</v>
      </c>
      <c r="C28" s="110">
        <v>30</v>
      </c>
      <c r="D28" s="110">
        <v>60</v>
      </c>
      <c r="E28" s="114" t="str">
        <f>IF('Car.Soll.'!A16="","",LEFT('Car.Soll.'!A16,1))</f>
        <v>2</v>
      </c>
      <c r="F28" s="115">
        <f>'Car.Soll.'!C16</f>
        <v>3.2</v>
      </c>
      <c r="G28" s="113">
        <v>14</v>
      </c>
      <c r="H28" s="110">
        <v>30</v>
      </c>
      <c r="I28" s="110">
        <v>70</v>
      </c>
      <c r="J28" s="116">
        <f t="shared" si="8"/>
        <v>0.12005</v>
      </c>
      <c r="K28" s="120">
        <f t="shared" si="9"/>
        <v>8.6400000000000005E-2</v>
      </c>
      <c r="L28" s="120">
        <f t="shared" si="14"/>
        <v>8.6400000000000005E-2</v>
      </c>
      <c r="M28" s="123">
        <f t="shared" si="10"/>
        <v>1384.8541259765623</v>
      </c>
      <c r="N28" s="124">
        <f t="shared" si="11"/>
        <v>0.36538563197124285</v>
      </c>
      <c r="O28" s="125">
        <f>IF(J28="","",M28*N28)</f>
        <v>506.00580000792939</v>
      </c>
    </row>
    <row r="29" spans="1:15" x14ac:dyDescent="0.45">
      <c r="A29" s="111" t="str">
        <f t="shared" si="13"/>
        <v>1</v>
      </c>
      <c r="B29" s="113">
        <v>16</v>
      </c>
      <c r="C29" s="110">
        <v>30</v>
      </c>
      <c r="D29" s="110">
        <v>60</v>
      </c>
      <c r="E29" s="114" t="str">
        <f>IF('Car.Soll.'!A17="","",LEFT('Car.Soll.'!A17,1))</f>
        <v>1</v>
      </c>
      <c r="F29" s="115">
        <f>'Car.Soll.'!C17</f>
        <v>3.6</v>
      </c>
      <c r="G29" s="113">
        <v>14</v>
      </c>
      <c r="H29" s="110">
        <v>30</v>
      </c>
      <c r="I29" s="110">
        <v>70</v>
      </c>
      <c r="J29" s="116">
        <f t="shared" si="8"/>
        <v>0.12005</v>
      </c>
      <c r="K29" s="120">
        <f t="shared" si="9"/>
        <v>8.6400000000000005E-2</v>
      </c>
      <c r="L29" s="1" t="s">
        <v>219</v>
      </c>
      <c r="M29" s="123">
        <f>IF(J29="","",12*$F$3*J29/F29^3)</f>
        <v>972.62731481481467</v>
      </c>
      <c r="N29" s="124">
        <f>IF(J29="","",1/(1+0.5*J29*(1/K29+IF(L29="infinito",0,1/L29))*$D$6/F29))</f>
        <v>0.56435751351743657</v>
      </c>
      <c r="O29" s="125">
        <f t="shared" ref="O29" si="15">IF(J29="","",M29*N29)</f>
        <v>548.90953296802979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workbookViewId="0">
      <selection activeCell="A2" sqref="A2"/>
    </sheetView>
  </sheetViews>
  <sheetFormatPr defaultRowHeight="14.25" x14ac:dyDescent="0.45"/>
  <cols>
    <col min="8" max="8" width="9.73046875" bestFit="1" customWidth="1"/>
  </cols>
  <sheetData>
    <row r="1" spans="1:16" ht="15.75" x14ac:dyDescent="0.5">
      <c r="A1" s="66" t="s">
        <v>225</v>
      </c>
    </row>
    <row r="3" spans="1:16" x14ac:dyDescent="0.45">
      <c r="A3" s="1" t="s">
        <v>15</v>
      </c>
      <c r="B3" s="1" t="s">
        <v>85</v>
      </c>
      <c r="C3" s="1" t="s">
        <v>95</v>
      </c>
      <c r="D3" s="1" t="s">
        <v>227</v>
      </c>
      <c r="E3" s="1" t="s">
        <v>228</v>
      </c>
      <c r="F3" s="1" t="s">
        <v>32</v>
      </c>
    </row>
    <row r="4" spans="1:16" x14ac:dyDescent="0.45">
      <c r="B4" s="1" t="s">
        <v>229</v>
      </c>
      <c r="C4" s="1" t="s">
        <v>230</v>
      </c>
      <c r="D4" s="1" t="s">
        <v>230</v>
      </c>
      <c r="E4" s="1" t="s">
        <v>222</v>
      </c>
      <c r="F4" s="1" t="s">
        <v>246</v>
      </c>
    </row>
    <row r="5" spans="1:16" x14ac:dyDescent="0.45">
      <c r="A5" s="129"/>
      <c r="B5" s="127"/>
      <c r="C5" s="126"/>
      <c r="D5" s="126" t="s">
        <v>232</v>
      </c>
      <c r="E5" s="126" t="s">
        <v>232</v>
      </c>
      <c r="F5" s="53" t="str">
        <f>IF(C5="","",C5/9.81)</f>
        <v/>
      </c>
      <c r="I5" s="1" t="s">
        <v>242</v>
      </c>
      <c r="J5" s="134">
        <f>ROUND(2*PI()*SQRT(J26/K26),3)</f>
        <v>0.56699999999999995</v>
      </c>
      <c r="K5" s="1" t="s">
        <v>34</v>
      </c>
    </row>
    <row r="6" spans="1:16" x14ac:dyDescent="0.45">
      <c r="A6" s="129"/>
      <c r="B6" s="127"/>
      <c r="C6" s="126"/>
      <c r="D6" s="126" t="s">
        <v>232</v>
      </c>
      <c r="E6" s="126" t="s">
        <v>232</v>
      </c>
      <c r="F6" s="53" t="str">
        <f t="shared" ref="F6:F11" si="0">IF(C6="","",C6/9.81)</f>
        <v/>
      </c>
      <c r="H6" s="1" t="s">
        <v>88</v>
      </c>
      <c r="I6" s="1" t="s">
        <v>226</v>
      </c>
      <c r="J6" s="128">
        <v>0.129</v>
      </c>
      <c r="K6" s="1" t="s">
        <v>90</v>
      </c>
      <c r="L6" t="str">
        <f>CONCATENATE("inserire i valori corrispondenti a T = ",J5," s")</f>
        <v>inserire i valori corrispondenti a T = 0.567 s</v>
      </c>
    </row>
    <row r="7" spans="1:16" x14ac:dyDescent="0.45">
      <c r="A7" s="129">
        <v>5</v>
      </c>
      <c r="B7" s="127">
        <v>16.399999999999999</v>
      </c>
      <c r="C7" s="126">
        <v>3041.8</v>
      </c>
      <c r="D7" s="126">
        <v>384.26525717804111</v>
      </c>
      <c r="E7" s="126">
        <v>411.05276369852129</v>
      </c>
      <c r="F7" s="53">
        <f t="shared" si="0"/>
        <v>310.07135575942914</v>
      </c>
      <c r="H7" s="1" t="s">
        <v>91</v>
      </c>
      <c r="I7" s="1" t="s">
        <v>226</v>
      </c>
      <c r="J7" s="128">
        <v>0.23100000000000001</v>
      </c>
      <c r="K7" s="1" t="s">
        <v>90</v>
      </c>
    </row>
    <row r="8" spans="1:16" x14ac:dyDescent="0.45">
      <c r="A8" s="129">
        <v>4</v>
      </c>
      <c r="B8" s="127">
        <v>13.2</v>
      </c>
      <c r="C8" s="126">
        <v>3184.1</v>
      </c>
      <c r="D8" s="126">
        <v>472.71962061010839</v>
      </c>
      <c r="E8" s="126">
        <v>506.00580000792939</v>
      </c>
      <c r="F8" s="53">
        <f t="shared" si="0"/>
        <v>324.57696228338426</v>
      </c>
    </row>
    <row r="9" spans="1:16" x14ac:dyDescent="0.45">
      <c r="A9" s="129">
        <v>3</v>
      </c>
      <c r="B9" s="127">
        <v>10</v>
      </c>
      <c r="C9" s="126">
        <v>3184.1</v>
      </c>
      <c r="D9" s="126">
        <v>472.71962061010839</v>
      </c>
      <c r="E9" s="126">
        <v>506.00580000792939</v>
      </c>
      <c r="F9" s="53">
        <f t="shared" si="0"/>
        <v>324.57696228338426</v>
      </c>
      <c r="I9" s="1" t="s">
        <v>243</v>
      </c>
      <c r="J9" s="134">
        <f>ROUND(2*PI()*SQRT(J43/K43),3)</f>
        <v>0.54800000000000004</v>
      </c>
      <c r="K9" s="1" t="s">
        <v>34</v>
      </c>
    </row>
    <row r="10" spans="1:16" x14ac:dyDescent="0.45">
      <c r="A10" s="129">
        <v>2</v>
      </c>
      <c r="B10" s="127">
        <v>6.8</v>
      </c>
      <c r="C10" s="126">
        <v>3184.1</v>
      </c>
      <c r="D10" s="126">
        <v>472.71962061010839</v>
      </c>
      <c r="E10" s="126">
        <v>506.00580000792939</v>
      </c>
      <c r="F10" s="53">
        <f t="shared" si="0"/>
        <v>324.57696228338426</v>
      </c>
      <c r="H10" s="1" t="s">
        <v>88</v>
      </c>
      <c r="I10" s="1" t="s">
        <v>226</v>
      </c>
      <c r="J10" s="128">
        <v>0.13300000000000001</v>
      </c>
      <c r="K10" s="1" t="s">
        <v>90</v>
      </c>
      <c r="L10" t="str">
        <f>CONCATENATE("inserire i valori corrispondenti a T = ",J9," s")</f>
        <v>inserire i valori corrispondenti a T = 0.548 s</v>
      </c>
    </row>
    <row r="11" spans="1:16" x14ac:dyDescent="0.45">
      <c r="A11" s="129">
        <v>1</v>
      </c>
      <c r="B11" s="127">
        <v>3.6</v>
      </c>
      <c r="C11" s="126">
        <v>2886.8</v>
      </c>
      <c r="D11" s="126">
        <v>511.82525993586614</v>
      </c>
      <c r="E11" s="126">
        <v>548.90953296802979</v>
      </c>
      <c r="F11" s="53">
        <f t="shared" si="0"/>
        <v>294.27115188583076</v>
      </c>
      <c r="H11" s="1" t="s">
        <v>91</v>
      </c>
      <c r="I11" s="1" t="s">
        <v>226</v>
      </c>
      <c r="J11" s="128">
        <v>0.23899999999999999</v>
      </c>
      <c r="K11" s="1" t="s">
        <v>90</v>
      </c>
    </row>
    <row r="14" spans="1:16" x14ac:dyDescent="0.45">
      <c r="A14" s="3" t="s">
        <v>231</v>
      </c>
      <c r="D14" s="1" t="s">
        <v>226</v>
      </c>
      <c r="E14" s="128">
        <v>0.11899999999999999</v>
      </c>
      <c r="F14" s="1" t="s">
        <v>90</v>
      </c>
      <c r="L14" s="1"/>
      <c r="M14" s="139" t="s">
        <v>244</v>
      </c>
      <c r="N14" s="140"/>
      <c r="O14" s="139" t="s">
        <v>245</v>
      </c>
      <c r="P14" s="140"/>
    </row>
    <row r="15" spans="1:16" x14ac:dyDescent="0.45">
      <c r="M15" s="140" t="str">
        <f>CONCATENATE("ag = ",J6, " g")</f>
        <v>ag = 0.129 g</v>
      </c>
      <c r="N15" s="140"/>
      <c r="O15" s="140" t="str">
        <f>CONCATENATE("ag = ",J7, " g")</f>
        <v>ag = 0.231 g</v>
      </c>
      <c r="P15" s="140"/>
    </row>
    <row r="16" spans="1:16" x14ac:dyDescent="0.45">
      <c r="A16" s="14"/>
      <c r="B16" s="14"/>
      <c r="C16" s="14"/>
      <c r="D16" s="14"/>
      <c r="E16" s="14"/>
      <c r="F16" s="14"/>
      <c r="G16" s="14"/>
    </row>
    <row r="17" spans="1:16" x14ac:dyDescent="0.45">
      <c r="A17" s="1" t="s">
        <v>15</v>
      </c>
      <c r="B17" s="1" t="s">
        <v>95</v>
      </c>
      <c r="C17" s="1" t="s">
        <v>85</v>
      </c>
      <c r="D17" s="1" t="s">
        <v>96</v>
      </c>
      <c r="E17" s="1" t="s">
        <v>97</v>
      </c>
      <c r="F17" s="1" t="s">
        <v>98</v>
      </c>
      <c r="G17" s="1" t="s">
        <v>223</v>
      </c>
      <c r="H17" s="1" t="s">
        <v>233</v>
      </c>
      <c r="I17" s="1" t="s">
        <v>234</v>
      </c>
      <c r="J17" s="1" t="s">
        <v>237</v>
      </c>
      <c r="K17" s="1" t="s">
        <v>238</v>
      </c>
      <c r="M17" s="1" t="s">
        <v>233</v>
      </c>
      <c r="N17" s="1" t="s">
        <v>234</v>
      </c>
      <c r="O17" s="1" t="s">
        <v>233</v>
      </c>
      <c r="P17" s="1" t="s">
        <v>234</v>
      </c>
    </row>
    <row r="18" spans="1:16" x14ac:dyDescent="0.45">
      <c r="A18" s="1"/>
      <c r="B18" s="1" t="s">
        <v>230</v>
      </c>
      <c r="C18" s="1" t="s">
        <v>229</v>
      </c>
      <c r="D18" s="1" t="s">
        <v>235</v>
      </c>
      <c r="E18" s="1" t="s">
        <v>230</v>
      </c>
      <c r="F18" s="1" t="s">
        <v>230</v>
      </c>
      <c r="G18" s="1" t="s">
        <v>230</v>
      </c>
      <c r="H18" s="1" t="s">
        <v>236</v>
      </c>
      <c r="I18" s="1" t="s">
        <v>236</v>
      </c>
      <c r="J18" s="131" t="s">
        <v>239</v>
      </c>
      <c r="K18" s="1" t="s">
        <v>240</v>
      </c>
      <c r="M18" s="1" t="s">
        <v>236</v>
      </c>
      <c r="N18" s="1" t="s">
        <v>236</v>
      </c>
      <c r="O18" s="1" t="s">
        <v>236</v>
      </c>
      <c r="P18" s="1" t="s">
        <v>236</v>
      </c>
    </row>
    <row r="19" spans="1:16" x14ac:dyDescent="0.45">
      <c r="A19" s="15" t="str">
        <f>IF(A5="","",A5)</f>
        <v/>
      </c>
      <c r="B19" s="130" t="str">
        <f>IF(C5="","",C5)</f>
        <v/>
      </c>
      <c r="C19" s="16" t="str">
        <f>IF(B5="","",B5)</f>
        <v/>
      </c>
      <c r="D19" s="71" t="str">
        <f>IF(B19="","",B19*C19)</f>
        <v/>
      </c>
      <c r="E19" s="130" t="str">
        <f>IF(A19="","",$B$28*D19/$D$26)</f>
        <v/>
      </c>
      <c r="F19" s="130" t="str">
        <f>IF(A19="","",E19)</f>
        <v/>
      </c>
      <c r="G19" s="130" t="str">
        <f>IF(D5="","",D5)</f>
        <v/>
      </c>
      <c r="H19" s="2" t="str">
        <f>IF(G19="","",F19/G19)</f>
        <v/>
      </c>
      <c r="I19" s="2" t="str">
        <f t="shared" ref="I19:I23" si="1">IF(H19="","",I20+H19)</f>
        <v/>
      </c>
      <c r="J19" s="2" t="str">
        <f>IF(B19="","",B19/9.81*I19^2/1000)</f>
        <v/>
      </c>
      <c r="K19" s="132" t="str">
        <f>IF(E19="","",E19*I19)</f>
        <v/>
      </c>
      <c r="M19" s="138" t="str">
        <f>IF(H19="","",H19*$J$6/$E$14)</f>
        <v/>
      </c>
      <c r="N19" s="138" t="str">
        <f>IF(I19="","",I19*$J$6/$E$14)</f>
        <v/>
      </c>
      <c r="O19" s="141" t="str">
        <f>IF(H19="","",H19*$J$7/$E$14)</f>
        <v/>
      </c>
      <c r="P19" s="138" t="str">
        <f>IF(I19="","",I19*$J$7/$E$14)</f>
        <v/>
      </c>
    </row>
    <row r="20" spans="1:16" x14ac:dyDescent="0.45">
      <c r="A20" s="15" t="str">
        <f t="shared" ref="A20:A25" si="2">IF(A6="","",A6)</f>
        <v/>
      </c>
      <c r="B20" s="130" t="str">
        <f t="shared" ref="B20:B25" si="3">IF(C6="","",C6)</f>
        <v/>
      </c>
      <c r="C20" s="16" t="str">
        <f t="shared" ref="C20:C25" si="4">IF(B6="","",B6)</f>
        <v/>
      </c>
      <c r="D20" s="71" t="str">
        <f t="shared" ref="D20:D25" si="5">IF(B20="","",B20*C20)</f>
        <v/>
      </c>
      <c r="E20" s="130" t="str">
        <f t="shared" ref="E20:E25" si="6">IF(A20="","",$B$28*D20/$D$26)</f>
        <v/>
      </c>
      <c r="F20" s="130" t="str">
        <f>IF(A20="","",IF(F19="",0,F19)+E20)</f>
        <v/>
      </c>
      <c r="G20" s="130" t="str">
        <f t="shared" ref="G20:G25" si="7">IF(D6="","",D6)</f>
        <v/>
      </c>
      <c r="H20" s="2" t="str">
        <f t="shared" ref="H20:H25" si="8">IF(G20="","",F20/G20)</f>
        <v/>
      </c>
      <c r="I20" s="2" t="str">
        <f t="shared" si="1"/>
        <v/>
      </c>
      <c r="J20" s="2" t="str">
        <f t="shared" ref="J20:J25" si="9">IF(B20="","",B20/9.81*I20^2/1000)</f>
        <v/>
      </c>
      <c r="K20" s="132" t="str">
        <f t="shared" ref="K20:K25" si="10">IF(E20="","",E20*I20)</f>
        <v/>
      </c>
      <c r="M20" s="138" t="str">
        <f t="shared" ref="M20:M25" si="11">IF(H20="","",H20*$J$6/$E$14)</f>
        <v/>
      </c>
      <c r="N20" s="138" t="str">
        <f t="shared" ref="N20:N25" si="12">IF(I20="","",I20*$J$6/$E$14)</f>
        <v/>
      </c>
      <c r="O20" s="141" t="str">
        <f t="shared" ref="O20:P25" si="13">IF(H20="","",H20*$J$7/$E$14)</f>
        <v/>
      </c>
      <c r="P20" s="138" t="str">
        <f t="shared" si="13"/>
        <v/>
      </c>
    </row>
    <row r="21" spans="1:16" x14ac:dyDescent="0.45">
      <c r="A21" s="15">
        <f t="shared" si="2"/>
        <v>5</v>
      </c>
      <c r="B21" s="130">
        <f t="shared" si="3"/>
        <v>3041.8</v>
      </c>
      <c r="C21" s="16">
        <f t="shared" si="4"/>
        <v>16.399999999999999</v>
      </c>
      <c r="D21" s="71">
        <f t="shared" si="5"/>
        <v>49885.52</v>
      </c>
      <c r="E21" s="130">
        <f t="shared" si="6"/>
        <v>501.37924862711537</v>
      </c>
      <c r="F21" s="130">
        <f t="shared" ref="F21:F25" si="14">IF(A21="","",IF(F20="",0,F20)+E21)</f>
        <v>501.37924862711537</v>
      </c>
      <c r="G21" s="130">
        <f t="shared" si="7"/>
        <v>384.26525717804111</v>
      </c>
      <c r="H21" s="2">
        <f t="shared" si="8"/>
        <v>1.3047738229293313</v>
      </c>
      <c r="I21" s="2">
        <f t="shared" si="1"/>
        <v>12.041221872085266</v>
      </c>
      <c r="J21" s="2">
        <f t="shared" si="9"/>
        <v>44.957563438203493</v>
      </c>
      <c r="K21" s="132">
        <f t="shared" si="10"/>
        <v>6037.2187747784983</v>
      </c>
      <c r="M21" s="138">
        <f t="shared" si="11"/>
        <v>1.414418681999023</v>
      </c>
      <c r="N21" s="138">
        <f t="shared" si="12"/>
        <v>13.053089256294113</v>
      </c>
      <c r="O21" s="141">
        <f t="shared" si="13"/>
        <v>2.5327962445098784</v>
      </c>
      <c r="P21" s="138">
        <f t="shared" si="13"/>
        <v>23.374136575224345</v>
      </c>
    </row>
    <row r="22" spans="1:16" x14ac:dyDescent="0.45">
      <c r="A22" s="15">
        <f t="shared" si="2"/>
        <v>4</v>
      </c>
      <c r="B22" s="130">
        <f t="shared" si="3"/>
        <v>3184.1</v>
      </c>
      <c r="C22" s="16">
        <f t="shared" si="4"/>
        <v>13.2</v>
      </c>
      <c r="D22" s="71">
        <f t="shared" si="5"/>
        <v>42030.119999999995</v>
      </c>
      <c r="E22" s="130">
        <f t="shared" si="6"/>
        <v>422.42779037499241</v>
      </c>
      <c r="F22" s="130">
        <f t="shared" si="14"/>
        <v>923.80703900210779</v>
      </c>
      <c r="G22" s="130">
        <f t="shared" si="7"/>
        <v>472.71962061010839</v>
      </c>
      <c r="H22" s="2">
        <f t="shared" si="8"/>
        <v>1.9542388314870669</v>
      </c>
      <c r="I22" s="2">
        <f t="shared" si="1"/>
        <v>10.736448049155936</v>
      </c>
      <c r="J22" s="2">
        <f t="shared" si="9"/>
        <v>37.414413816859671</v>
      </c>
      <c r="K22" s="132">
        <f t="shared" si="10"/>
        <v>4535.3740258808393</v>
      </c>
      <c r="M22" s="138">
        <f t="shared" si="11"/>
        <v>2.1184605820321987</v>
      </c>
      <c r="N22" s="138">
        <f t="shared" si="12"/>
        <v>11.638670574295091</v>
      </c>
      <c r="O22" s="141">
        <f t="shared" si="13"/>
        <v>3.793522437592542</v>
      </c>
      <c r="P22" s="138">
        <f t="shared" si="13"/>
        <v>20.841340330714463</v>
      </c>
    </row>
    <row r="23" spans="1:16" x14ac:dyDescent="0.45">
      <c r="A23" s="15">
        <f t="shared" si="2"/>
        <v>3</v>
      </c>
      <c r="B23" s="130">
        <f t="shared" si="3"/>
        <v>3184.1</v>
      </c>
      <c r="C23" s="16">
        <f t="shared" si="4"/>
        <v>10</v>
      </c>
      <c r="D23" s="71">
        <f t="shared" si="5"/>
        <v>31841</v>
      </c>
      <c r="E23" s="130">
        <f t="shared" si="6"/>
        <v>320.02105331438821</v>
      </c>
      <c r="F23" s="130">
        <f t="shared" si="14"/>
        <v>1243.8280923164959</v>
      </c>
      <c r="G23" s="130">
        <f t="shared" si="7"/>
        <v>472.71962061010839</v>
      </c>
      <c r="H23" s="2">
        <f t="shared" si="8"/>
        <v>2.6312174026353468</v>
      </c>
      <c r="I23" s="2">
        <f t="shared" si="1"/>
        <v>8.7822092176688678</v>
      </c>
      <c r="J23" s="2">
        <f t="shared" si="9"/>
        <v>25.033711877399938</v>
      </c>
      <c r="K23" s="132">
        <f t="shared" si="10"/>
        <v>2810.4918442657204</v>
      </c>
      <c r="M23" s="138">
        <f t="shared" si="11"/>
        <v>2.8523281087391577</v>
      </c>
      <c r="N23" s="138">
        <f t="shared" si="12"/>
        <v>9.52020999226289</v>
      </c>
      <c r="O23" s="141">
        <f t="shared" si="13"/>
        <v>5.1076573109980261</v>
      </c>
      <c r="P23" s="138">
        <f t="shared" si="13"/>
        <v>17.04781789312192</v>
      </c>
    </row>
    <row r="24" spans="1:16" x14ac:dyDescent="0.45">
      <c r="A24" s="15">
        <f t="shared" si="2"/>
        <v>2</v>
      </c>
      <c r="B24" s="130">
        <f t="shared" si="3"/>
        <v>3184.1</v>
      </c>
      <c r="C24" s="16">
        <f t="shared" si="4"/>
        <v>6.8</v>
      </c>
      <c r="D24" s="71">
        <f t="shared" si="5"/>
        <v>21651.879999999997</v>
      </c>
      <c r="E24" s="130">
        <f t="shared" si="6"/>
        <v>217.61431625378395</v>
      </c>
      <c r="F24" s="130">
        <f t="shared" si="14"/>
        <v>1461.4424085702799</v>
      </c>
      <c r="G24" s="130">
        <f t="shared" si="7"/>
        <v>472.71962061010839</v>
      </c>
      <c r="H24" s="2">
        <f t="shared" si="8"/>
        <v>3.0915628310161769</v>
      </c>
      <c r="I24" s="2">
        <f>IF(H24="","",I25+H24)</f>
        <v>6.150991815033521</v>
      </c>
      <c r="J24" s="2">
        <f t="shared" si="9"/>
        <v>12.28027209507065</v>
      </c>
      <c r="K24" s="132">
        <f t="shared" si="10"/>
        <v>1338.5438781111411</v>
      </c>
      <c r="M24" s="138">
        <f t="shared" si="11"/>
        <v>3.3513580268998893</v>
      </c>
      <c r="N24" s="138">
        <f t="shared" si="12"/>
        <v>6.6678818835237337</v>
      </c>
      <c r="O24" s="141">
        <f t="shared" si="13"/>
        <v>6.0012690249137561</v>
      </c>
      <c r="P24" s="138">
        <f t="shared" si="13"/>
        <v>11.940160582123896</v>
      </c>
    </row>
    <row r="25" spans="1:16" x14ac:dyDescent="0.45">
      <c r="A25" s="15">
        <f t="shared" si="2"/>
        <v>1</v>
      </c>
      <c r="B25" s="130">
        <f t="shared" si="3"/>
        <v>2886.8</v>
      </c>
      <c r="C25" s="16">
        <f t="shared" si="4"/>
        <v>3.6</v>
      </c>
      <c r="D25" s="71">
        <f t="shared" si="5"/>
        <v>10392.480000000001</v>
      </c>
      <c r="E25" s="130">
        <f t="shared" si="6"/>
        <v>104.45062642971997</v>
      </c>
      <c r="F25" s="130">
        <f t="shared" si="14"/>
        <v>1565.8930349999998</v>
      </c>
      <c r="G25" s="130">
        <f t="shared" si="7"/>
        <v>511.82525993586614</v>
      </c>
      <c r="H25" s="2">
        <f t="shared" si="8"/>
        <v>3.0594289840173436</v>
      </c>
      <c r="I25" s="2">
        <f>H25</f>
        <v>3.0594289840173436</v>
      </c>
      <c r="J25" s="2">
        <f t="shared" si="9"/>
        <v>2.754409088538512</v>
      </c>
      <c r="K25" s="132">
        <f t="shared" si="10"/>
        <v>319.5592738978533</v>
      </c>
      <c r="M25" s="138">
        <f t="shared" si="11"/>
        <v>3.3165238566238431</v>
      </c>
      <c r="N25" s="138">
        <f t="shared" si="12"/>
        <v>3.3165238566238431</v>
      </c>
      <c r="O25" s="141">
        <f t="shared" si="13"/>
        <v>5.9388915572101384</v>
      </c>
      <c r="P25" s="138">
        <f t="shared" si="13"/>
        <v>5.9388915572101384</v>
      </c>
    </row>
    <row r="26" spans="1:16" x14ac:dyDescent="0.45">
      <c r="A26" s="1" t="s">
        <v>25</v>
      </c>
      <c r="B26" s="70">
        <f>SUM(B19:B25)</f>
        <v>15480.900000000001</v>
      </c>
      <c r="C26" s="1"/>
      <c r="D26" s="70">
        <f>SUM(D19:D25)</f>
        <v>155801</v>
      </c>
      <c r="E26" s="55">
        <f>SUM(E19:E25)</f>
        <v>1565.8930349999998</v>
      </c>
      <c r="F26" s="1"/>
      <c r="J26" s="133">
        <f t="shared" ref="J26:K26" si="15">SUM(J19:J25)</f>
        <v>122.44037031607228</v>
      </c>
      <c r="K26" s="70">
        <f t="shared" si="15"/>
        <v>15041.187796934053</v>
      </c>
    </row>
    <row r="28" spans="1:16" x14ac:dyDescent="0.45">
      <c r="A28" s="1" t="s">
        <v>99</v>
      </c>
      <c r="B28" s="53">
        <f>B26*E14*0.85</f>
        <v>1565.8930350000001</v>
      </c>
      <c r="F28" s="108"/>
    </row>
    <row r="31" spans="1:16" x14ac:dyDescent="0.45">
      <c r="A31" s="3" t="s">
        <v>241</v>
      </c>
      <c r="D31" s="1" t="s">
        <v>226</v>
      </c>
      <c r="E31" s="128">
        <v>0.11899999999999999</v>
      </c>
      <c r="F31" s="1" t="s">
        <v>90</v>
      </c>
      <c r="L31" s="1"/>
      <c r="M31" s="139" t="s">
        <v>244</v>
      </c>
      <c r="N31" s="140"/>
      <c r="O31" s="139" t="s">
        <v>245</v>
      </c>
      <c r="P31" s="140"/>
    </row>
    <row r="32" spans="1:16" x14ac:dyDescent="0.45">
      <c r="M32" s="140" t="str">
        <f>CONCATENATE("ag = ",J10, " g")</f>
        <v>ag = 0.133 g</v>
      </c>
      <c r="N32" s="140"/>
      <c r="O32" s="140" t="str">
        <f>CONCATENATE("ag = ",J11, " g")</f>
        <v>ag = 0.239 g</v>
      </c>
      <c r="P32" s="140"/>
    </row>
    <row r="33" spans="1:16" x14ac:dyDescent="0.45">
      <c r="A33" s="14"/>
      <c r="B33" s="14"/>
      <c r="C33" s="14"/>
      <c r="D33" s="14"/>
      <c r="E33" s="14"/>
      <c r="F33" s="14"/>
      <c r="G33" s="14"/>
    </row>
    <row r="34" spans="1:16" x14ac:dyDescent="0.45">
      <c r="A34" s="1" t="s">
        <v>15</v>
      </c>
      <c r="B34" s="1" t="s">
        <v>95</v>
      </c>
      <c r="C34" s="1" t="s">
        <v>85</v>
      </c>
      <c r="D34" s="1" t="s">
        <v>96</v>
      </c>
      <c r="E34" s="1" t="s">
        <v>97</v>
      </c>
      <c r="F34" s="1" t="s">
        <v>98</v>
      </c>
      <c r="G34" s="1" t="s">
        <v>223</v>
      </c>
      <c r="H34" s="1" t="s">
        <v>233</v>
      </c>
      <c r="I34" s="1" t="s">
        <v>234</v>
      </c>
      <c r="J34" s="1" t="s">
        <v>237</v>
      </c>
      <c r="K34" s="1" t="s">
        <v>238</v>
      </c>
      <c r="M34" s="1" t="s">
        <v>233</v>
      </c>
      <c r="N34" s="1" t="s">
        <v>234</v>
      </c>
      <c r="O34" s="1" t="s">
        <v>233</v>
      </c>
      <c r="P34" s="1" t="s">
        <v>234</v>
      </c>
    </row>
    <row r="35" spans="1:16" x14ac:dyDescent="0.45">
      <c r="A35" s="1"/>
      <c r="B35" s="1" t="s">
        <v>230</v>
      </c>
      <c r="C35" s="1" t="s">
        <v>229</v>
      </c>
      <c r="D35" s="1" t="s">
        <v>235</v>
      </c>
      <c r="E35" s="1" t="s">
        <v>230</v>
      </c>
      <c r="F35" s="1" t="s">
        <v>230</v>
      </c>
      <c r="G35" s="1" t="s">
        <v>230</v>
      </c>
      <c r="H35" s="1" t="s">
        <v>236</v>
      </c>
      <c r="I35" s="1" t="s">
        <v>236</v>
      </c>
      <c r="J35" s="131" t="s">
        <v>239</v>
      </c>
      <c r="K35" s="1" t="s">
        <v>240</v>
      </c>
      <c r="M35" s="1" t="s">
        <v>236</v>
      </c>
      <c r="N35" s="1" t="s">
        <v>236</v>
      </c>
      <c r="O35" s="1" t="s">
        <v>236</v>
      </c>
      <c r="P35" s="1" t="s">
        <v>236</v>
      </c>
    </row>
    <row r="36" spans="1:16" x14ac:dyDescent="0.45">
      <c r="A36" s="15" t="str">
        <f>IF(A5="","",A5)</f>
        <v/>
      </c>
      <c r="B36" s="130" t="str">
        <f>IF(C5="","",C5)</f>
        <v/>
      </c>
      <c r="C36" s="16" t="str">
        <f>IF(B5="","",B5)</f>
        <v/>
      </c>
      <c r="D36" s="71" t="str">
        <f>IF(B36="","",B36*C36)</f>
        <v/>
      </c>
      <c r="E36" s="130" t="str">
        <f>IF(A36="","",$B$45*D36/$D$43)</f>
        <v/>
      </c>
      <c r="F36" s="130" t="str">
        <f>IF(A36="","",E36)</f>
        <v/>
      </c>
      <c r="G36" s="130" t="str">
        <f>IF(E5="","",E5)</f>
        <v/>
      </c>
      <c r="H36" s="2" t="str">
        <f>IF(G36="","",F36/G36)</f>
        <v/>
      </c>
      <c r="I36" s="2" t="str">
        <f t="shared" ref="I36:I40" si="16">IF(H36="","",I37+H36)</f>
        <v/>
      </c>
      <c r="J36" s="2" t="str">
        <f>IF(B36="","",B36/9.81*I36^2/1000)</f>
        <v/>
      </c>
      <c r="K36" s="132" t="str">
        <f>IF(E36="","",E36*I36)</f>
        <v/>
      </c>
      <c r="M36" s="138" t="str">
        <f>IF(H36="","",H36*$J$10/$E$31)</f>
        <v/>
      </c>
      <c r="N36" s="138" t="str">
        <f>IF(I36="","",I36*$J$10/$E$31)</f>
        <v/>
      </c>
      <c r="O36" s="141" t="str">
        <f>IF(H36="","",H36*$J$11/$E$14)</f>
        <v/>
      </c>
      <c r="P36" s="138" t="str">
        <f t="shared" ref="P36:P42" si="17">IF(I36="","",I36*$J$11/$E$14)</f>
        <v/>
      </c>
    </row>
    <row r="37" spans="1:16" x14ac:dyDescent="0.45">
      <c r="A37" s="15" t="str">
        <f t="shared" ref="A37:A42" si="18">IF(A6="","",A6)</f>
        <v/>
      </c>
      <c r="B37" s="130" t="str">
        <f t="shared" ref="B37:B42" si="19">IF(C6="","",C6)</f>
        <v/>
      </c>
      <c r="C37" s="16" t="str">
        <f t="shared" ref="C37:C42" si="20">IF(B6="","",B6)</f>
        <v/>
      </c>
      <c r="D37" s="71" t="str">
        <f t="shared" ref="D37:D42" si="21">IF(B37="","",B37*C37)</f>
        <v/>
      </c>
      <c r="E37" s="130" t="str">
        <f t="shared" ref="E37:E42" si="22">IF(A37="","",$B$45*D37/$D$43)</f>
        <v/>
      </c>
      <c r="F37" s="130" t="str">
        <f>IF(A37="","",IF(F36="",0,F36)+E37)</f>
        <v/>
      </c>
      <c r="G37" s="130" t="str">
        <f t="shared" ref="G37:G42" si="23">IF(E6="","",E6)</f>
        <v/>
      </c>
      <c r="H37" s="2" t="str">
        <f t="shared" ref="H37:H42" si="24">IF(G37="","",F37/G37)</f>
        <v/>
      </c>
      <c r="I37" s="2" t="str">
        <f t="shared" si="16"/>
        <v/>
      </c>
      <c r="J37" s="2" t="str">
        <f t="shared" ref="J37:J42" si="25">IF(B37="","",B37/9.81*I37^2/1000)</f>
        <v/>
      </c>
      <c r="K37" s="132" t="str">
        <f t="shared" ref="K37:K42" si="26">IF(E37="","",E37*I37)</f>
        <v/>
      </c>
      <c r="M37" s="138" t="str">
        <f t="shared" ref="M37:M42" si="27">IF(H37="","",H37*$J$10/$E$31)</f>
        <v/>
      </c>
      <c r="N37" s="138" t="str">
        <f t="shared" ref="N37:N42" si="28">IF(I37="","",I37*$J$10/$E$31)</f>
        <v/>
      </c>
      <c r="O37" s="141" t="str">
        <f t="shared" ref="O37:O42" si="29">IF(H37="","",H37*$J$11/$E$14)</f>
        <v/>
      </c>
      <c r="P37" s="138" t="str">
        <f t="shared" si="17"/>
        <v/>
      </c>
    </row>
    <row r="38" spans="1:16" x14ac:dyDescent="0.45">
      <c r="A38" s="15">
        <f t="shared" si="18"/>
        <v>5</v>
      </c>
      <c r="B38" s="130">
        <f t="shared" si="19"/>
        <v>3041.8</v>
      </c>
      <c r="C38" s="16">
        <f t="shared" si="20"/>
        <v>16.399999999999999</v>
      </c>
      <c r="D38" s="71">
        <f t="shared" si="21"/>
        <v>49885.52</v>
      </c>
      <c r="E38" s="130">
        <f t="shared" si="22"/>
        <v>501.37924862711537</v>
      </c>
      <c r="F38" s="130">
        <f t="shared" ref="F38:F42" si="30">IF(A38="","",IF(F37="",0,F37)+E38)</f>
        <v>501.37924862711537</v>
      </c>
      <c r="G38" s="130">
        <f t="shared" si="23"/>
        <v>411.05276369852129</v>
      </c>
      <c r="H38" s="2">
        <f t="shared" si="24"/>
        <v>1.2197442589021061</v>
      </c>
      <c r="I38" s="2">
        <f t="shared" si="16"/>
        <v>11.244486318277458</v>
      </c>
      <c r="J38" s="2">
        <f t="shared" si="25"/>
        <v>39.20494860742869</v>
      </c>
      <c r="K38" s="132">
        <f t="shared" si="26"/>
        <v>5637.7521014558306</v>
      </c>
      <c r="M38" s="138">
        <f t="shared" si="27"/>
        <v>1.3632435834788246</v>
      </c>
      <c r="N38" s="138">
        <f t="shared" si="28"/>
        <v>12.567367061604218</v>
      </c>
      <c r="O38" s="141">
        <f t="shared" si="29"/>
        <v>2.449738469559692</v>
      </c>
      <c r="P38" s="138">
        <f t="shared" si="17"/>
        <v>22.583464118221112</v>
      </c>
    </row>
    <row r="39" spans="1:16" x14ac:dyDescent="0.45">
      <c r="A39" s="15">
        <f t="shared" si="18"/>
        <v>4</v>
      </c>
      <c r="B39" s="130">
        <f t="shared" si="19"/>
        <v>3184.1</v>
      </c>
      <c r="C39" s="16">
        <f t="shared" si="20"/>
        <v>13.2</v>
      </c>
      <c r="D39" s="71">
        <f t="shared" si="21"/>
        <v>42030.119999999995</v>
      </c>
      <c r="E39" s="130">
        <f t="shared" si="22"/>
        <v>422.42779037499241</v>
      </c>
      <c r="F39" s="130">
        <f t="shared" si="30"/>
        <v>923.80703900210779</v>
      </c>
      <c r="G39" s="130">
        <f t="shared" si="23"/>
        <v>506.00580000792939</v>
      </c>
      <c r="H39" s="2">
        <f t="shared" si="24"/>
        <v>1.825684683827006</v>
      </c>
      <c r="I39" s="2">
        <f t="shared" si="16"/>
        <v>10.024742059375352</v>
      </c>
      <c r="J39" s="2">
        <f t="shared" si="25"/>
        <v>32.61850897390957</v>
      </c>
      <c r="K39" s="132">
        <f t="shared" si="26"/>
        <v>4234.7296372211813</v>
      </c>
      <c r="M39" s="138">
        <f t="shared" si="27"/>
        <v>2.0404711172184187</v>
      </c>
      <c r="N39" s="138">
        <f t="shared" si="28"/>
        <v>11.204123478125396</v>
      </c>
      <c r="O39" s="141">
        <f t="shared" si="29"/>
        <v>3.6667112557533983</v>
      </c>
      <c r="P39" s="138">
        <f t="shared" si="17"/>
        <v>20.133725648661422</v>
      </c>
    </row>
    <row r="40" spans="1:16" x14ac:dyDescent="0.45">
      <c r="A40" s="15">
        <f t="shared" si="18"/>
        <v>3</v>
      </c>
      <c r="B40" s="130">
        <f t="shared" si="19"/>
        <v>3184.1</v>
      </c>
      <c r="C40" s="16">
        <f t="shared" si="20"/>
        <v>10</v>
      </c>
      <c r="D40" s="71">
        <f t="shared" si="21"/>
        <v>31841</v>
      </c>
      <c r="E40" s="130">
        <f t="shared" si="22"/>
        <v>320.02105331438821</v>
      </c>
      <c r="F40" s="130">
        <f t="shared" si="30"/>
        <v>1243.8280923164959</v>
      </c>
      <c r="G40" s="130">
        <f t="shared" si="23"/>
        <v>506.00580000792939</v>
      </c>
      <c r="H40" s="2">
        <f t="shared" si="24"/>
        <v>2.4581301089770204</v>
      </c>
      <c r="I40" s="2">
        <f t="shared" si="16"/>
        <v>8.199057375548346</v>
      </c>
      <c r="J40" s="2">
        <f t="shared" si="25"/>
        <v>21.819537583764742</v>
      </c>
      <c r="K40" s="132">
        <f t="shared" si="26"/>
        <v>2623.8709775080852</v>
      </c>
      <c r="M40" s="138">
        <f t="shared" si="27"/>
        <v>2.747321886503729</v>
      </c>
      <c r="N40" s="138">
        <f t="shared" si="28"/>
        <v>9.1636523609069762</v>
      </c>
      <c r="O40" s="141">
        <f t="shared" si="29"/>
        <v>4.9369167734916628</v>
      </c>
      <c r="P40" s="138">
        <f t="shared" si="17"/>
        <v>16.467014392908023</v>
      </c>
    </row>
    <row r="41" spans="1:16" x14ac:dyDescent="0.45">
      <c r="A41" s="15">
        <f t="shared" si="18"/>
        <v>2</v>
      </c>
      <c r="B41" s="130">
        <f t="shared" si="19"/>
        <v>3184.1</v>
      </c>
      <c r="C41" s="16">
        <f t="shared" si="20"/>
        <v>6.8</v>
      </c>
      <c r="D41" s="71">
        <f t="shared" si="21"/>
        <v>21651.879999999997</v>
      </c>
      <c r="E41" s="130">
        <f t="shared" si="22"/>
        <v>217.61431625378395</v>
      </c>
      <c r="F41" s="130">
        <f t="shared" si="30"/>
        <v>1461.4424085702799</v>
      </c>
      <c r="G41" s="130">
        <f t="shared" si="23"/>
        <v>506.00580000792939</v>
      </c>
      <c r="H41" s="2">
        <f t="shared" si="24"/>
        <v>2.8881929980790306</v>
      </c>
      <c r="I41" s="2">
        <f>IF(H41="","",I42+H41)</f>
        <v>5.740927266571326</v>
      </c>
      <c r="J41" s="2">
        <f t="shared" si="25"/>
        <v>10.697487329939426</v>
      </c>
      <c r="K41" s="132">
        <f t="shared" si="26"/>
        <v>1249.3079617776241</v>
      </c>
      <c r="M41" s="138">
        <f t="shared" si="27"/>
        <v>3.2279804096177407</v>
      </c>
      <c r="N41" s="138">
        <f t="shared" si="28"/>
        <v>6.4163304744032468</v>
      </c>
      <c r="O41" s="141">
        <f t="shared" si="29"/>
        <v>5.8006565255536833</v>
      </c>
      <c r="P41" s="138">
        <f t="shared" si="17"/>
        <v>11.530097619416361</v>
      </c>
    </row>
    <row r="42" spans="1:16" x14ac:dyDescent="0.45">
      <c r="A42" s="15">
        <f t="shared" si="18"/>
        <v>1</v>
      </c>
      <c r="B42" s="130">
        <f t="shared" si="19"/>
        <v>2886.8</v>
      </c>
      <c r="C42" s="16">
        <f t="shared" si="20"/>
        <v>3.6</v>
      </c>
      <c r="D42" s="71">
        <f t="shared" si="21"/>
        <v>10392.480000000001</v>
      </c>
      <c r="E42" s="130">
        <f t="shared" si="22"/>
        <v>104.45062642971997</v>
      </c>
      <c r="F42" s="130">
        <f t="shared" si="30"/>
        <v>1565.8930349999998</v>
      </c>
      <c r="G42" s="130">
        <f t="shared" si="23"/>
        <v>548.90953296802979</v>
      </c>
      <c r="H42" s="2">
        <f t="shared" si="24"/>
        <v>2.8527342684922949</v>
      </c>
      <c r="I42" s="2">
        <f>H42</f>
        <v>2.8527342684922949</v>
      </c>
      <c r="J42" s="2">
        <f t="shared" si="25"/>
        <v>2.3948059443608827</v>
      </c>
      <c r="K42" s="132">
        <f t="shared" si="26"/>
        <v>297.96988138154916</v>
      </c>
      <c r="M42" s="138">
        <f t="shared" si="27"/>
        <v>3.1883500647855065</v>
      </c>
      <c r="N42" s="138">
        <f t="shared" si="28"/>
        <v>3.1883500647855065</v>
      </c>
      <c r="O42" s="141">
        <f t="shared" si="29"/>
        <v>5.7294410938626763</v>
      </c>
      <c r="P42" s="138">
        <f t="shared" si="17"/>
        <v>5.7294410938626763</v>
      </c>
    </row>
    <row r="43" spans="1:16" x14ac:dyDescent="0.45">
      <c r="A43" s="1" t="s">
        <v>25</v>
      </c>
      <c r="B43" s="70">
        <f>SUM(B36:B42)</f>
        <v>15480.900000000001</v>
      </c>
      <c r="C43" s="1"/>
      <c r="D43" s="70">
        <f>SUM(D36:D42)</f>
        <v>155801</v>
      </c>
      <c r="E43" s="55">
        <f>SUM(E36:E42)</f>
        <v>1565.8930349999998</v>
      </c>
      <c r="F43" s="1"/>
      <c r="J43" s="133">
        <f t="shared" ref="J43" si="31">SUM(J36:J42)</f>
        <v>106.73528843940331</v>
      </c>
      <c r="K43" s="70">
        <f t="shared" ref="K43" si="32">SUM(K36:K42)</f>
        <v>14043.63055934427</v>
      </c>
    </row>
    <row r="45" spans="1:16" x14ac:dyDescent="0.45">
      <c r="A45" s="1" t="s">
        <v>99</v>
      </c>
      <c r="B45" s="53">
        <f>B43*E31*0.85</f>
        <v>1565.8930350000001</v>
      </c>
      <c r="F45" s="10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Travi</vt:lpstr>
      <vt:lpstr>Pilastri</vt:lpstr>
      <vt:lpstr>Masse</vt:lpstr>
      <vt:lpstr>Spettri di risposta</vt:lpstr>
      <vt:lpstr>Forze</vt:lpstr>
      <vt:lpstr>Car.Soll.</vt:lpstr>
      <vt:lpstr>Dimensionamento</vt:lpstr>
      <vt:lpstr>Rigidezze di piano</vt:lpstr>
      <vt:lpstr>Rayleigh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Aurelio</cp:lastModifiedBy>
  <dcterms:created xsi:type="dcterms:W3CDTF">2017-04-19T13:36:05Z</dcterms:created>
  <dcterms:modified xsi:type="dcterms:W3CDTF">2018-03-27T16:00:20Z</dcterms:modified>
</cp:coreProperties>
</file>